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jsava.gjoliku\OneDrive - AKSHI Azure AD\Desktop\Garancia per femijet 2026-2030\"/>
    </mc:Choice>
  </mc:AlternateContent>
  <xr:revisionPtr revIDLastSave="0" documentId="8_{9DF6A4BA-39E4-48FB-9DD1-BB298E8BBB17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Permbledhese" sheetId="18" r:id="rId1"/>
    <sheet name="Kostimi i planit te veprimit" sheetId="17" r:id="rId2"/>
    <sheet name="Nevojat kapitale" sheetId="21" r:id="rId3"/>
    <sheet name="Grafike" sheetId="22" r:id="rId4"/>
  </sheets>
  <definedNames>
    <definedName name="_ftnref1" localSheetId="1">'Kostimi i planit te veprimit'!$B$43</definedName>
    <definedName name="_Hlk14952534" localSheetId="2">'Nevojat kapitale'!$C$18</definedName>
    <definedName name="_Toc212635908" localSheetId="1">'Kostimi i planit te veprimit'!$B$52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8" l="1"/>
  <c r="W28" i="18"/>
  <c r="W4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11" i="18"/>
  <c r="AJ9" i="17"/>
  <c r="AJ10" i="17"/>
  <c r="AJ11" i="17"/>
  <c r="AJ12" i="17"/>
  <c r="AJ13" i="17"/>
  <c r="AJ15" i="17"/>
  <c r="AJ16" i="17"/>
  <c r="AJ17" i="17"/>
  <c r="AJ18" i="17"/>
  <c r="AJ19" i="17"/>
  <c r="AJ20" i="17"/>
  <c r="AJ21" i="17"/>
  <c r="AJ22" i="17"/>
  <c r="AJ23" i="17"/>
  <c r="AJ24" i="17"/>
  <c r="AJ26" i="17"/>
  <c r="AJ27" i="17"/>
  <c r="AJ28" i="17"/>
  <c r="AJ29" i="17"/>
  <c r="AJ30" i="17"/>
  <c r="AJ32" i="17"/>
  <c r="AJ33" i="17"/>
  <c r="AJ34" i="17"/>
  <c r="AJ35" i="17"/>
  <c r="AJ37" i="17"/>
  <c r="AJ39" i="17"/>
  <c r="AJ40" i="17"/>
  <c r="AJ42" i="17"/>
  <c r="AJ43" i="17"/>
  <c r="AJ44" i="17"/>
  <c r="AJ47" i="17"/>
  <c r="AJ48" i="17"/>
  <c r="AJ50" i="17"/>
  <c r="AJ51" i="17"/>
  <c r="AJ52" i="17"/>
  <c r="AJ53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8" i="17"/>
  <c r="M4" i="22"/>
  <c r="K25" i="18"/>
  <c r="K22" i="18"/>
  <c r="K19" i="18"/>
  <c r="K16" i="18"/>
  <c r="K13" i="18"/>
  <c r="J25" i="18"/>
  <c r="C16" i="21" s="1"/>
  <c r="L25" i="18"/>
  <c r="M25" i="18"/>
  <c r="N25" i="18"/>
  <c r="O25" i="18"/>
  <c r="P25" i="18"/>
  <c r="Q25" i="18"/>
  <c r="R25" i="18"/>
  <c r="E15" i="21" s="1"/>
  <c r="S25" i="18"/>
  <c r="E16" i="21" s="1"/>
  <c r="T25" i="18"/>
  <c r="I25" i="18"/>
  <c r="C15" i="21" s="1"/>
  <c r="S22" i="18"/>
  <c r="E14" i="21" s="1"/>
  <c r="T22" i="18"/>
  <c r="J22" i="18"/>
  <c r="C14" i="21" s="1"/>
  <c r="L22" i="18"/>
  <c r="M22" i="18"/>
  <c r="N22" i="18"/>
  <c r="O22" i="18"/>
  <c r="D13" i="21" s="1"/>
  <c r="P22" i="18"/>
  <c r="Q22" i="18"/>
  <c r="R22" i="18"/>
  <c r="E13" i="21" s="1"/>
  <c r="I22" i="18"/>
  <c r="C13" i="21" s="1"/>
  <c r="J19" i="18"/>
  <c r="C12" i="21" s="1"/>
  <c r="L19" i="18"/>
  <c r="M19" i="18"/>
  <c r="N19" i="18"/>
  <c r="O19" i="18"/>
  <c r="P19" i="18"/>
  <c r="D12" i="21" s="1"/>
  <c r="Q19" i="18"/>
  <c r="R19" i="18"/>
  <c r="E11" i="21" s="1"/>
  <c r="S19" i="18"/>
  <c r="E12" i="21" s="1"/>
  <c r="T19" i="18"/>
  <c r="I19" i="18"/>
  <c r="C11" i="21" s="1"/>
  <c r="T16" i="18"/>
  <c r="N16" i="18"/>
  <c r="O16" i="18"/>
  <c r="D9" i="21" s="1"/>
  <c r="P16" i="18"/>
  <c r="Q16" i="18"/>
  <c r="R16" i="18"/>
  <c r="E9" i="21" s="1"/>
  <c r="S16" i="18"/>
  <c r="J16" i="18"/>
  <c r="C10" i="21" s="1"/>
  <c r="L16" i="18"/>
  <c r="M16" i="18"/>
  <c r="I16" i="18"/>
  <c r="C9" i="21" s="1"/>
  <c r="U24" i="18"/>
  <c r="U23" i="18"/>
  <c r="U21" i="18"/>
  <c r="U20" i="18"/>
  <c r="U18" i="18"/>
  <c r="U17" i="18"/>
  <c r="U14" i="18"/>
  <c r="U15" i="18"/>
  <c r="U11" i="18"/>
  <c r="T13" i="18"/>
  <c r="S13" i="18"/>
  <c r="E8" i="21" s="1"/>
  <c r="R13" i="18"/>
  <c r="E7" i="21" s="1"/>
  <c r="P13" i="18"/>
  <c r="O13" i="18"/>
  <c r="N13" i="18"/>
  <c r="M13" i="18"/>
  <c r="D8" i="21" s="1"/>
  <c r="L13" i="18"/>
  <c r="J13" i="18"/>
  <c r="C8" i="21" s="1"/>
  <c r="I13" i="18"/>
  <c r="C7" i="21" s="1"/>
  <c r="AG77" i="17"/>
  <c r="AD82" i="17"/>
  <c r="W7" i="18"/>
  <c r="W9" i="18"/>
  <c r="Q13" i="18"/>
  <c r="P4" i="18"/>
  <c r="AD222" i="17"/>
  <c r="AC222" i="17"/>
  <c r="AB222" i="17"/>
  <c r="AA222" i="17"/>
  <c r="T222" i="17"/>
  <c r="R222" i="17"/>
  <c r="R223" i="17" s="1"/>
  <c r="Q222" i="17"/>
  <c r="Q223" i="17" s="1"/>
  <c r="O222" i="17"/>
  <c r="O223" i="17" s="1"/>
  <c r="L222" i="17"/>
  <c r="L223" i="17" s="1"/>
  <c r="K222" i="17"/>
  <c r="K223" i="17" s="1"/>
  <c r="I222" i="17"/>
  <c r="I223" i="17" s="1"/>
  <c r="H222" i="17"/>
  <c r="AF221" i="17"/>
  <c r="AE221" i="17"/>
  <c r="Y221" i="17"/>
  <c r="X221" i="17"/>
  <c r="V221" i="17"/>
  <c r="U221" i="17"/>
  <c r="G221" i="17"/>
  <c r="AF219" i="17"/>
  <c r="AE219" i="17"/>
  <c r="Y219" i="17"/>
  <c r="X219" i="17"/>
  <c r="V219" i="17"/>
  <c r="U219" i="17"/>
  <c r="S219" i="17"/>
  <c r="P219" i="17"/>
  <c r="M219" i="17"/>
  <c r="J219" i="17"/>
  <c r="Z219" i="17" s="1"/>
  <c r="AF218" i="17"/>
  <c r="X218" i="17"/>
  <c r="S218" i="17"/>
  <c r="P218" i="17"/>
  <c r="M218" i="17"/>
  <c r="J218" i="17"/>
  <c r="G218" i="17"/>
  <c r="F218" i="17"/>
  <c r="V218" i="17" s="1"/>
  <c r="AF217" i="17"/>
  <c r="Y217" i="17"/>
  <c r="V217" i="17"/>
  <c r="G217" i="17"/>
  <c r="W217" i="17" s="1"/>
  <c r="AI217" i="17" s="1"/>
  <c r="D217" i="17"/>
  <c r="AF216" i="17"/>
  <c r="Y216" i="17"/>
  <c r="V216" i="17"/>
  <c r="D216" i="17"/>
  <c r="AF215" i="17"/>
  <c r="AE215" i="17"/>
  <c r="Y215" i="17"/>
  <c r="V215" i="17"/>
  <c r="S215" i="17"/>
  <c r="P215" i="17"/>
  <c r="M215" i="17"/>
  <c r="J215" i="17"/>
  <c r="G215" i="17"/>
  <c r="E215" i="17"/>
  <c r="AC212" i="17"/>
  <c r="AB212" i="17"/>
  <c r="AA212" i="17"/>
  <c r="T212" i="17"/>
  <c r="S212" i="17"/>
  <c r="P212" i="17"/>
  <c r="M212" i="17"/>
  <c r="AG211" i="17"/>
  <c r="AF211" i="17"/>
  <c r="AE211" i="17"/>
  <c r="Y211" i="17"/>
  <c r="X211" i="17"/>
  <c r="W211" i="17"/>
  <c r="AD211" i="17" s="1"/>
  <c r="Z211" i="17" s="1"/>
  <c r="V211" i="17"/>
  <c r="U211" i="17"/>
  <c r="AG210" i="17"/>
  <c r="AF210" i="17"/>
  <c r="AE210" i="17"/>
  <c r="Y210" i="17"/>
  <c r="V210" i="17"/>
  <c r="J210" i="17"/>
  <c r="J212" i="17" s="1"/>
  <c r="H210" i="17"/>
  <c r="U210" i="17" s="1"/>
  <c r="AG208" i="17"/>
  <c r="AF208" i="17"/>
  <c r="AE208" i="17"/>
  <c r="Y208" i="17"/>
  <c r="V208" i="17"/>
  <c r="G208" i="17"/>
  <c r="E208" i="17"/>
  <c r="X208" i="17" s="1"/>
  <c r="T202" i="17"/>
  <c r="AC200" i="17"/>
  <c r="AB200" i="17"/>
  <c r="AA200" i="17"/>
  <c r="R200" i="17"/>
  <c r="AG199" i="17"/>
  <c r="AF199" i="17"/>
  <c r="AE199" i="17"/>
  <c r="Z199" i="17"/>
  <c r="Y199" i="17"/>
  <c r="X199" i="17"/>
  <c r="W199" i="17"/>
  <c r="V199" i="17"/>
  <c r="U199" i="17"/>
  <c r="AG198" i="17"/>
  <c r="AF198" i="17"/>
  <c r="AE198" i="17"/>
  <c r="Y198" i="17"/>
  <c r="W198" i="17"/>
  <c r="V198" i="17"/>
  <c r="U198" i="17"/>
  <c r="AG197" i="17"/>
  <c r="AF197" i="17"/>
  <c r="AE197" i="17"/>
  <c r="Z197" i="17"/>
  <c r="Y197" i="17"/>
  <c r="X197" i="17"/>
  <c r="W197" i="17"/>
  <c r="V197" i="17"/>
  <c r="U197" i="17"/>
  <c r="AG196" i="17"/>
  <c r="AF196" i="17"/>
  <c r="AE196" i="17"/>
  <c r="Z196" i="17"/>
  <c r="Y196" i="17"/>
  <c r="X196" i="17"/>
  <c r="W196" i="17"/>
  <c r="V196" i="17"/>
  <c r="U196" i="17"/>
  <c r="AG194" i="17"/>
  <c r="AF194" i="17"/>
  <c r="AE194" i="17"/>
  <c r="Z194" i="17"/>
  <c r="Y194" i="17"/>
  <c r="X194" i="17"/>
  <c r="W194" i="17"/>
  <c r="V194" i="17"/>
  <c r="U194" i="17"/>
  <c r="AG193" i="17"/>
  <c r="AF193" i="17"/>
  <c r="AE193" i="17"/>
  <c r="Z193" i="17"/>
  <c r="Y193" i="17"/>
  <c r="X193" i="17"/>
  <c r="W193" i="17"/>
  <c r="V193" i="17"/>
  <c r="U193" i="17"/>
  <c r="AF192" i="17"/>
  <c r="Y192" i="17"/>
  <c r="V192" i="17"/>
  <c r="S192" i="17"/>
  <c r="Q192" i="17"/>
  <c r="P192" i="17"/>
  <c r="N192" i="17"/>
  <c r="M192" i="17"/>
  <c r="K192" i="17"/>
  <c r="J192" i="17"/>
  <c r="H192" i="17"/>
  <c r="G192" i="17"/>
  <c r="E192" i="17"/>
  <c r="AG191" i="17"/>
  <c r="AF191" i="17"/>
  <c r="AE191" i="17"/>
  <c r="Y191" i="17"/>
  <c r="V191" i="17"/>
  <c r="J191" i="17"/>
  <c r="H191" i="17"/>
  <c r="G191" i="17"/>
  <c r="E191" i="17"/>
  <c r="AF189" i="17"/>
  <c r="AD189" i="17"/>
  <c r="Y189" i="17"/>
  <c r="V189" i="17"/>
  <c r="S189" i="17"/>
  <c r="Q189" i="17"/>
  <c r="P189" i="17"/>
  <c r="N189" i="17"/>
  <c r="M189" i="17"/>
  <c r="K189" i="17"/>
  <c r="J189" i="17"/>
  <c r="H189" i="17"/>
  <c r="G189" i="17"/>
  <c r="E189" i="17"/>
  <c r="AG188" i="17"/>
  <c r="AF188" i="17"/>
  <c r="AE188" i="17"/>
  <c r="AD188" i="17"/>
  <c r="Z188" i="17" s="1"/>
  <c r="Y188" i="17"/>
  <c r="X188" i="17"/>
  <c r="W188" i="17"/>
  <c r="V188" i="17"/>
  <c r="U188" i="17"/>
  <c r="AE186" i="17"/>
  <c r="X186" i="17"/>
  <c r="U186" i="17"/>
  <c r="P186" i="17"/>
  <c r="O186" i="17"/>
  <c r="O200" i="17" s="1"/>
  <c r="M186" i="17"/>
  <c r="L186" i="17"/>
  <c r="L200" i="17" s="1"/>
  <c r="J186" i="17"/>
  <c r="I186" i="17"/>
  <c r="I200" i="17" s="1"/>
  <c r="G186" i="17"/>
  <c r="F186" i="17"/>
  <c r="F200" i="17" s="1"/>
  <c r="AG185" i="17"/>
  <c r="AF185" i="17"/>
  <c r="AE185" i="17"/>
  <c r="AD185" i="17"/>
  <c r="Z185" i="17" s="1"/>
  <c r="Y185" i="17"/>
  <c r="X185" i="17"/>
  <c r="W185" i="17"/>
  <c r="V185" i="17"/>
  <c r="U185" i="17"/>
  <c r="AF184" i="17"/>
  <c r="Y184" i="17"/>
  <c r="V184" i="17"/>
  <c r="D184" i="17"/>
  <c r="K184" i="17" s="1"/>
  <c r="AG183" i="17"/>
  <c r="AF183" i="17"/>
  <c r="AE183" i="17"/>
  <c r="Z183" i="17"/>
  <c r="Y183" i="17"/>
  <c r="X183" i="17"/>
  <c r="W183" i="17"/>
  <c r="V183" i="17"/>
  <c r="U183" i="17"/>
  <c r="AG182" i="17"/>
  <c r="AF182" i="17"/>
  <c r="AE182" i="17"/>
  <c r="Y182" i="17"/>
  <c r="V182" i="17"/>
  <c r="J182" i="17"/>
  <c r="W182" i="17" s="1"/>
  <c r="H182" i="17"/>
  <c r="X182" i="17" s="1"/>
  <c r="AG181" i="17"/>
  <c r="AF181" i="17"/>
  <c r="AE181" i="17"/>
  <c r="Y181" i="17"/>
  <c r="V181" i="17"/>
  <c r="J181" i="17"/>
  <c r="H181" i="17"/>
  <c r="G181" i="17"/>
  <c r="E181" i="17"/>
  <c r="AC178" i="17"/>
  <c r="AC201" i="17" s="1"/>
  <c r="AC202" i="17" s="1"/>
  <c r="AB178" i="17"/>
  <c r="AA178" i="17"/>
  <c r="T178" i="17"/>
  <c r="Q178" i="17"/>
  <c r="I178" i="17"/>
  <c r="F178" i="17"/>
  <c r="AG177" i="17"/>
  <c r="AF177" i="17"/>
  <c r="AE177" i="17"/>
  <c r="Y177" i="17"/>
  <c r="V177" i="17"/>
  <c r="J177" i="17"/>
  <c r="Z177" i="17" s="1"/>
  <c r="H177" i="17"/>
  <c r="X177" i="17" s="1"/>
  <c r="AG176" i="17"/>
  <c r="AF176" i="17"/>
  <c r="AE176" i="17"/>
  <c r="Z176" i="17"/>
  <c r="Y176" i="17"/>
  <c r="X176" i="17"/>
  <c r="W176" i="17"/>
  <c r="V176" i="17"/>
  <c r="U176" i="17"/>
  <c r="AG175" i="17"/>
  <c r="AF175" i="17"/>
  <c r="AE175" i="17"/>
  <c r="Z175" i="17"/>
  <c r="Y175" i="17"/>
  <c r="X175" i="17"/>
  <c r="W175" i="17"/>
  <c r="V175" i="17"/>
  <c r="U175" i="17"/>
  <c r="AG173" i="17"/>
  <c r="AF173" i="17"/>
  <c r="AE173" i="17"/>
  <c r="Z173" i="17"/>
  <c r="Y173" i="17"/>
  <c r="X173" i="17"/>
  <c r="W173" i="17"/>
  <c r="V173" i="17"/>
  <c r="U173" i="17"/>
  <c r="AG172" i="17"/>
  <c r="AF172" i="17"/>
  <c r="AE172" i="17"/>
  <c r="Z172" i="17"/>
  <c r="Y172" i="17"/>
  <c r="X172" i="17"/>
  <c r="W172" i="17"/>
  <c r="V172" i="17"/>
  <c r="U172" i="17"/>
  <c r="AE171" i="17"/>
  <c r="X171" i="17"/>
  <c r="U171" i="17"/>
  <c r="D171" i="17"/>
  <c r="AG170" i="17"/>
  <c r="AF170" i="17"/>
  <c r="AE170" i="17"/>
  <c r="Z170" i="17"/>
  <c r="Y170" i="17"/>
  <c r="X170" i="17"/>
  <c r="W170" i="17"/>
  <c r="V170" i="17"/>
  <c r="U170" i="17"/>
  <c r="AG169" i="17"/>
  <c r="AF169" i="17"/>
  <c r="AE169" i="17"/>
  <c r="Y169" i="17"/>
  <c r="V169" i="17"/>
  <c r="G169" i="17"/>
  <c r="E169" i="17"/>
  <c r="AG167" i="17"/>
  <c r="AF167" i="17"/>
  <c r="AE167" i="17"/>
  <c r="Z167" i="17"/>
  <c r="Y167" i="17"/>
  <c r="X167" i="17"/>
  <c r="W167" i="17"/>
  <c r="V167" i="17"/>
  <c r="U167" i="17"/>
  <c r="AF166" i="17"/>
  <c r="Y166" i="17"/>
  <c r="V166" i="17"/>
  <c r="P166" i="17"/>
  <c r="AG166" i="17" s="1"/>
  <c r="N166" i="17"/>
  <c r="AE166" i="17" s="1"/>
  <c r="M166" i="17"/>
  <c r="Z166" i="17" s="1"/>
  <c r="K166" i="17"/>
  <c r="X166" i="17" s="1"/>
  <c r="AG165" i="17"/>
  <c r="AF165" i="17"/>
  <c r="AE165" i="17"/>
  <c r="Y165" i="17"/>
  <c r="V165" i="17"/>
  <c r="J165" i="17"/>
  <c r="H165" i="17"/>
  <c r="X165" i="17" s="1"/>
  <c r="AG164" i="17"/>
  <c r="AF164" i="17"/>
  <c r="AE164" i="17"/>
  <c r="Y164" i="17"/>
  <c r="V164" i="17"/>
  <c r="J164" i="17"/>
  <c r="W164" i="17" s="1"/>
  <c r="H164" i="17"/>
  <c r="U164" i="17" s="1"/>
  <c r="AF162" i="17"/>
  <c r="Y162" i="17"/>
  <c r="V162" i="17"/>
  <c r="S162" i="17"/>
  <c r="P162" i="17"/>
  <c r="M162" i="17"/>
  <c r="K162" i="17"/>
  <c r="U162" i="17" s="1"/>
  <c r="AD162" i="17" s="1"/>
  <c r="AG161" i="17"/>
  <c r="AF161" i="17"/>
  <c r="AE161" i="17"/>
  <c r="AD161" i="17"/>
  <c r="Z161" i="17" s="1"/>
  <c r="Y161" i="17"/>
  <c r="X161" i="17"/>
  <c r="W161" i="17"/>
  <c r="V161" i="17"/>
  <c r="U161" i="17"/>
  <c r="AG160" i="17"/>
  <c r="AF160" i="17"/>
  <c r="AE160" i="17"/>
  <c r="AD160" i="17"/>
  <c r="Z160" i="17" s="1"/>
  <c r="Y160" i="17"/>
  <c r="X160" i="17"/>
  <c r="W160" i="17"/>
  <c r="V160" i="17"/>
  <c r="U160" i="17"/>
  <c r="AG159" i="17"/>
  <c r="AF159" i="17"/>
  <c r="AE159" i="17"/>
  <c r="AD159" i="17"/>
  <c r="Y159" i="17"/>
  <c r="W159" i="17"/>
  <c r="V159" i="17"/>
  <c r="U159" i="17"/>
  <c r="AG157" i="17"/>
  <c r="AG156" i="17"/>
  <c r="AD153" i="17"/>
  <c r="AC153" i="17"/>
  <c r="AB153" i="17"/>
  <c r="AA153" i="17"/>
  <c r="R153" i="17"/>
  <c r="O153" i="17"/>
  <c r="L153" i="17"/>
  <c r="I153" i="17"/>
  <c r="F153" i="17"/>
  <c r="AF152" i="17"/>
  <c r="Y152" i="17"/>
  <c r="V152" i="17"/>
  <c r="S152" i="17"/>
  <c r="Q152" i="17"/>
  <c r="Q153" i="17" s="1"/>
  <c r="P152" i="17"/>
  <c r="N152" i="17"/>
  <c r="M152" i="17"/>
  <c r="K152" i="17"/>
  <c r="J152" i="17"/>
  <c r="H152" i="17"/>
  <c r="G152" i="17"/>
  <c r="E152" i="17"/>
  <c r="AG151" i="17"/>
  <c r="AF151" i="17"/>
  <c r="AE151" i="17"/>
  <c r="Z151" i="17"/>
  <c r="Y151" i="17"/>
  <c r="X151" i="17"/>
  <c r="W151" i="17"/>
  <c r="V151" i="17"/>
  <c r="U151" i="17"/>
  <c r="AG150" i="17"/>
  <c r="AF150" i="17"/>
  <c r="AE150" i="17"/>
  <c r="Z150" i="17"/>
  <c r="Y150" i="17"/>
  <c r="X150" i="17"/>
  <c r="W150" i="17"/>
  <c r="V150" i="17"/>
  <c r="U150" i="17"/>
  <c r="AG149" i="17"/>
  <c r="AF149" i="17"/>
  <c r="AE149" i="17"/>
  <c r="Y149" i="17"/>
  <c r="V149" i="17"/>
  <c r="G149" i="17"/>
  <c r="Z149" i="17" s="1"/>
  <c r="E149" i="17"/>
  <c r="X149" i="17" s="1"/>
  <c r="AF147" i="17"/>
  <c r="AE147" i="17"/>
  <c r="Y147" i="17"/>
  <c r="V147" i="17"/>
  <c r="S147" i="17"/>
  <c r="P147" i="17"/>
  <c r="M147" i="17"/>
  <c r="J147" i="17"/>
  <c r="G147" i="17"/>
  <c r="AF146" i="17"/>
  <c r="Y146" i="17"/>
  <c r="V146" i="17"/>
  <c r="D146" i="17"/>
  <c r="AG145" i="17"/>
  <c r="AF145" i="17"/>
  <c r="AE145" i="17"/>
  <c r="Z145" i="17"/>
  <c r="Y145" i="17"/>
  <c r="X145" i="17"/>
  <c r="W145" i="17"/>
  <c r="V145" i="17"/>
  <c r="U145" i="17"/>
  <c r="AG144" i="17"/>
  <c r="AF144" i="17"/>
  <c r="AE144" i="17"/>
  <c r="Z144" i="17"/>
  <c r="Y144" i="17"/>
  <c r="X144" i="17"/>
  <c r="W144" i="17"/>
  <c r="V144" i="17"/>
  <c r="U144" i="17"/>
  <c r="AF142" i="17"/>
  <c r="AE142" i="17"/>
  <c r="Y142" i="17"/>
  <c r="X142" i="17"/>
  <c r="V142" i="17"/>
  <c r="U142" i="17"/>
  <c r="S142" i="17"/>
  <c r="P142" i="17"/>
  <c r="M142" i="17"/>
  <c r="Z142" i="17" s="1"/>
  <c r="AG141" i="17"/>
  <c r="AF141" i="17"/>
  <c r="AE141" i="17"/>
  <c r="X141" i="17"/>
  <c r="W141" i="17"/>
  <c r="V141" i="17"/>
  <c r="U141" i="17"/>
  <c r="AG140" i="17"/>
  <c r="AF140" i="17"/>
  <c r="AE140" i="17"/>
  <c r="Y140" i="17"/>
  <c r="X140" i="17"/>
  <c r="V140" i="17"/>
  <c r="U140" i="17"/>
  <c r="J140" i="17"/>
  <c r="Z140" i="17" s="1"/>
  <c r="AG138" i="17"/>
  <c r="AF138" i="17"/>
  <c r="AE138" i="17"/>
  <c r="Z138" i="17"/>
  <c r="Y138" i="17"/>
  <c r="X138" i="17"/>
  <c r="W138" i="17"/>
  <c r="V138" i="17"/>
  <c r="U138" i="17"/>
  <c r="AG137" i="17"/>
  <c r="AF137" i="17"/>
  <c r="AE137" i="17"/>
  <c r="Z137" i="17"/>
  <c r="Y137" i="17"/>
  <c r="X137" i="17"/>
  <c r="W137" i="17"/>
  <c r="V137" i="17"/>
  <c r="U137" i="17"/>
  <c r="AG136" i="17"/>
  <c r="AF136" i="17"/>
  <c r="AE136" i="17"/>
  <c r="Y136" i="17"/>
  <c r="V136" i="17"/>
  <c r="U136" i="17"/>
  <c r="J136" i="17"/>
  <c r="AC133" i="17"/>
  <c r="AB133" i="17"/>
  <c r="F133" i="17"/>
  <c r="AF132" i="17"/>
  <c r="AA132" i="17"/>
  <c r="AA133" i="17" s="1"/>
  <c r="Y132" i="17"/>
  <c r="V132" i="17"/>
  <c r="S132" i="17"/>
  <c r="Q132" i="17"/>
  <c r="P132" i="17"/>
  <c r="N132" i="17"/>
  <c r="M132" i="17"/>
  <c r="K132" i="17"/>
  <c r="X132" i="17" s="1"/>
  <c r="Z132" i="17" s="1"/>
  <c r="J132" i="17"/>
  <c r="H132" i="17"/>
  <c r="G132" i="17"/>
  <c r="E132" i="17"/>
  <c r="AG131" i="17"/>
  <c r="AF131" i="17"/>
  <c r="AE131" i="17"/>
  <c r="Z131" i="17"/>
  <c r="Y131" i="17"/>
  <c r="X131" i="17"/>
  <c r="W131" i="17"/>
  <c r="V131" i="17"/>
  <c r="U131" i="17"/>
  <c r="AE130" i="17"/>
  <c r="X130" i="17"/>
  <c r="U130" i="17"/>
  <c r="S130" i="17"/>
  <c r="R130" i="17"/>
  <c r="R133" i="17" s="1"/>
  <c r="P130" i="17"/>
  <c r="O130" i="17"/>
  <c r="O133" i="17" s="1"/>
  <c r="M130" i="17"/>
  <c r="L130" i="17"/>
  <c r="L133" i="17" s="1"/>
  <c r="J130" i="17"/>
  <c r="I130" i="17"/>
  <c r="I133" i="17" s="1"/>
  <c r="G130" i="17"/>
  <c r="AG129" i="17"/>
  <c r="AF129" i="17"/>
  <c r="AE129" i="17"/>
  <c r="Z129" i="17"/>
  <c r="Y129" i="17"/>
  <c r="X129" i="17"/>
  <c r="W129" i="17"/>
  <c r="V129" i="17"/>
  <c r="U129" i="17"/>
  <c r="AG128" i="17"/>
  <c r="AF128" i="17"/>
  <c r="AE128" i="17"/>
  <c r="Y128" i="17"/>
  <c r="X128" i="17"/>
  <c r="W128" i="17"/>
  <c r="AD128" i="17" s="1"/>
  <c r="Z128" i="17" s="1"/>
  <c r="V128" i="17"/>
  <c r="U128" i="17"/>
  <c r="AF127" i="17"/>
  <c r="Y127" i="17"/>
  <c r="V127" i="17"/>
  <c r="P127" i="17"/>
  <c r="S127" i="17" s="1"/>
  <c r="AG127" i="17" s="1"/>
  <c r="N127" i="17"/>
  <c r="Q127" i="17" s="1"/>
  <c r="AE127" i="17" s="1"/>
  <c r="M127" i="17"/>
  <c r="K127" i="17"/>
  <c r="J127" i="17"/>
  <c r="H127" i="17"/>
  <c r="G127" i="17"/>
  <c r="E127" i="17"/>
  <c r="AF125" i="17"/>
  <c r="Y125" i="17"/>
  <c r="V125" i="17"/>
  <c r="D125" i="17"/>
  <c r="Q125" i="17" s="1"/>
  <c r="AG124" i="17"/>
  <c r="AF124" i="17"/>
  <c r="AE124" i="17"/>
  <c r="Y124" i="17"/>
  <c r="X124" i="17"/>
  <c r="W124" i="17"/>
  <c r="AD124" i="17" s="1"/>
  <c r="V124" i="17"/>
  <c r="U124" i="17"/>
  <c r="AG123" i="17"/>
  <c r="AF123" i="17"/>
  <c r="AE123" i="17"/>
  <c r="Z123" i="17"/>
  <c r="Y123" i="17"/>
  <c r="X123" i="17"/>
  <c r="W123" i="17"/>
  <c r="V123" i="17"/>
  <c r="U123" i="17"/>
  <c r="AC117" i="17"/>
  <c r="AB115" i="17"/>
  <c r="AA115" i="17"/>
  <c r="AA117" i="17" s="1"/>
  <c r="T115" i="17"/>
  <c r="T116" i="17" s="1"/>
  <c r="I115" i="17"/>
  <c r="F115" i="17"/>
  <c r="AD114" i="17"/>
  <c r="Y114" i="17"/>
  <c r="V114" i="17"/>
  <c r="S114" i="17"/>
  <c r="Q114" i="17"/>
  <c r="P114" i="17"/>
  <c r="N114" i="17"/>
  <c r="M114" i="17"/>
  <c r="K114" i="17"/>
  <c r="J114" i="17"/>
  <c r="H114" i="17"/>
  <c r="G114" i="17"/>
  <c r="E114" i="17"/>
  <c r="AG113" i="17"/>
  <c r="AF113" i="17"/>
  <c r="AE113" i="17"/>
  <c r="AD113" i="17"/>
  <c r="Z113" i="17" s="1"/>
  <c r="Y113" i="17"/>
  <c r="X113" i="17"/>
  <c r="W113" i="17"/>
  <c r="V113" i="17"/>
  <c r="U113" i="17"/>
  <c r="AF112" i="17"/>
  <c r="W112" i="17"/>
  <c r="V112" i="17"/>
  <c r="U112" i="17"/>
  <c r="AG111" i="17"/>
  <c r="AF111" i="17"/>
  <c r="AE111" i="17"/>
  <c r="AD111" i="17"/>
  <c r="Z111" i="17" s="1"/>
  <c r="Y111" i="17"/>
  <c r="X111" i="17"/>
  <c r="W111" i="17"/>
  <c r="V111" i="17"/>
  <c r="U111" i="17"/>
  <c r="AF110" i="17"/>
  <c r="W110" i="17"/>
  <c r="V110" i="17"/>
  <c r="U110" i="17"/>
  <c r="AG109" i="17"/>
  <c r="AF109" i="17"/>
  <c r="AE109" i="17"/>
  <c r="AD109" i="17"/>
  <c r="Z109" i="17" s="1"/>
  <c r="Y109" i="17"/>
  <c r="X109" i="17"/>
  <c r="W109" i="17"/>
  <c r="V109" i="17"/>
  <c r="U109" i="17"/>
  <c r="AF108" i="17"/>
  <c r="W108" i="17"/>
  <c r="V108" i="17"/>
  <c r="U108" i="17"/>
  <c r="AE107" i="17"/>
  <c r="AD107" i="17"/>
  <c r="X107" i="17"/>
  <c r="U107" i="17"/>
  <c r="D107" i="17"/>
  <c r="L107" i="17" s="1"/>
  <c r="AG106" i="17"/>
  <c r="AF106" i="17"/>
  <c r="AE106" i="17"/>
  <c r="AD106" i="17"/>
  <c r="Y106" i="17"/>
  <c r="V106" i="17"/>
  <c r="G106" i="17"/>
  <c r="W106" i="17" s="1"/>
  <c r="E106" i="17"/>
  <c r="U106" i="17" s="1"/>
  <c r="AF105" i="17"/>
  <c r="W105" i="17"/>
  <c r="AG105" i="17" s="1"/>
  <c r="V105" i="17"/>
  <c r="U105" i="17"/>
  <c r="AF104" i="17"/>
  <c r="AD104" i="17"/>
  <c r="Y104" i="17"/>
  <c r="V104" i="17"/>
  <c r="S104" i="17"/>
  <c r="Q104" i="17"/>
  <c r="P104" i="17"/>
  <c r="N104" i="17"/>
  <c r="M104" i="17"/>
  <c r="K104" i="17"/>
  <c r="J104" i="17"/>
  <c r="H104" i="17"/>
  <c r="G104" i="17"/>
  <c r="E104" i="17"/>
  <c r="AF103" i="17"/>
  <c r="W103" i="17"/>
  <c r="AI102" i="17"/>
  <c r="AG102" i="17"/>
  <c r="AD101" i="17"/>
  <c r="AC101" i="17"/>
  <c r="AB101" i="17"/>
  <c r="AA101" i="17"/>
  <c r="S101" i="17"/>
  <c r="R101" i="17"/>
  <c r="Q101" i="17"/>
  <c r="P101" i="17"/>
  <c r="O101" i="17"/>
  <c r="N101" i="17"/>
  <c r="M101" i="17"/>
  <c r="L101" i="17"/>
  <c r="K101" i="17"/>
  <c r="I101" i="17"/>
  <c r="G101" i="17"/>
  <c r="F101" i="17"/>
  <c r="E101" i="17"/>
  <c r="AG100" i="17"/>
  <c r="AF100" i="17"/>
  <c r="AE100" i="17"/>
  <c r="Z100" i="17"/>
  <c r="Y100" i="17"/>
  <c r="X100" i="17"/>
  <c r="W100" i="17"/>
  <c r="V100" i="17"/>
  <c r="U100" i="17"/>
  <c r="W99" i="17"/>
  <c r="AI99" i="17" s="1"/>
  <c r="V99" i="17"/>
  <c r="U99" i="17"/>
  <c r="AG98" i="17"/>
  <c r="AF98" i="17"/>
  <c r="AE98" i="17"/>
  <c r="Z98" i="17"/>
  <c r="Y98" i="17"/>
  <c r="X98" i="17"/>
  <c r="W98" i="17"/>
  <c r="V98" i="17"/>
  <c r="U98" i="17"/>
  <c r="AF97" i="17"/>
  <c r="W97" i="17"/>
  <c r="AG97" i="17" s="1"/>
  <c r="V97" i="17"/>
  <c r="U97" i="17"/>
  <c r="AG96" i="17"/>
  <c r="AF96" i="17"/>
  <c r="AE96" i="17"/>
  <c r="Y96" i="17"/>
  <c r="V96" i="17"/>
  <c r="J96" i="17"/>
  <c r="W96" i="17" s="1"/>
  <c r="H96" i="17"/>
  <c r="U96" i="17" s="1"/>
  <c r="AF95" i="17"/>
  <c r="W95" i="17"/>
  <c r="AI94" i="17"/>
  <c r="AG94" i="17"/>
  <c r="AC91" i="17"/>
  <c r="AB91" i="17"/>
  <c r="AD90" i="17"/>
  <c r="S90" i="17"/>
  <c r="P90" i="17"/>
  <c r="G90" i="17"/>
  <c r="AG89" i="17"/>
  <c r="AF89" i="17"/>
  <c r="AE89" i="17"/>
  <c r="Y89" i="17"/>
  <c r="V89" i="17"/>
  <c r="M89" i="17"/>
  <c r="K89" i="17"/>
  <c r="J89" i="17"/>
  <c r="H89" i="17"/>
  <c r="AG87" i="17"/>
  <c r="AF87" i="17"/>
  <c r="AE87" i="17"/>
  <c r="Y87" i="17"/>
  <c r="V87" i="17"/>
  <c r="AG85" i="17"/>
  <c r="AF85" i="17"/>
  <c r="AE85" i="17"/>
  <c r="Y85" i="17"/>
  <c r="V85" i="17"/>
  <c r="J85" i="17"/>
  <c r="Z85" i="17" s="1"/>
  <c r="H85" i="17"/>
  <c r="H87" i="17" s="1"/>
  <c r="AA82" i="17"/>
  <c r="AA91" i="17" s="1"/>
  <c r="S82" i="17"/>
  <c r="R82" i="17"/>
  <c r="R91" i="17" s="1"/>
  <c r="Q82" i="17"/>
  <c r="Q91" i="17" s="1"/>
  <c r="P82" i="17"/>
  <c r="O82" i="17"/>
  <c r="O91" i="17" s="1"/>
  <c r="N82" i="17"/>
  <c r="N91" i="17" s="1"/>
  <c r="M82" i="17"/>
  <c r="L82" i="17"/>
  <c r="L91" i="17" s="1"/>
  <c r="K82" i="17"/>
  <c r="J82" i="17"/>
  <c r="I82" i="17"/>
  <c r="I91" i="17" s="1"/>
  <c r="H82" i="17"/>
  <c r="F82" i="17"/>
  <c r="F91" i="17" s="1"/>
  <c r="AG81" i="17"/>
  <c r="AF81" i="17"/>
  <c r="AE81" i="17"/>
  <c r="Y81" i="17"/>
  <c r="V81" i="17"/>
  <c r="G81" i="17"/>
  <c r="E81" i="17"/>
  <c r="U81" i="17" s="1"/>
  <c r="AI80" i="17"/>
  <c r="AG79" i="17"/>
  <c r="AF79" i="17"/>
  <c r="AE79" i="17"/>
  <c r="Z79" i="17"/>
  <c r="Y79" i="17"/>
  <c r="X79" i="17"/>
  <c r="W79" i="17"/>
  <c r="AI79" i="17" s="1"/>
  <c r="V79" i="17"/>
  <c r="U79" i="17"/>
  <c r="AG78" i="17"/>
  <c r="AF78" i="17"/>
  <c r="AE78" i="17"/>
  <c r="Z78" i="17"/>
  <c r="Y78" i="17"/>
  <c r="X78" i="17"/>
  <c r="W78" i="17"/>
  <c r="V78" i="17"/>
  <c r="U78" i="17"/>
  <c r="AF77" i="17"/>
  <c r="AE77" i="17"/>
  <c r="Z77" i="17"/>
  <c r="Y77" i="17"/>
  <c r="X77" i="17"/>
  <c r="W77" i="17"/>
  <c r="V77" i="17"/>
  <c r="U77" i="17"/>
  <c r="AI76" i="17"/>
  <c r="AG76" i="17"/>
  <c r="D16" i="21" l="1"/>
  <c r="D11" i="21"/>
  <c r="D7" i="21"/>
  <c r="F7" i="21" s="1"/>
  <c r="D15" i="21"/>
  <c r="F15" i="21" s="1"/>
  <c r="D14" i="21"/>
  <c r="F13" i="21" s="1"/>
  <c r="U16" i="18"/>
  <c r="AI77" i="17"/>
  <c r="AB201" i="17"/>
  <c r="AB202" i="17" s="1"/>
  <c r="M184" i="17"/>
  <c r="J184" i="17"/>
  <c r="Z89" i="17"/>
  <c r="AI78" i="17"/>
  <c r="X181" i="17"/>
  <c r="AG192" i="17"/>
  <c r="AI131" i="17"/>
  <c r="AG132" i="17"/>
  <c r="I154" i="17"/>
  <c r="S184" i="17"/>
  <c r="AG189" i="17"/>
  <c r="AF212" i="17"/>
  <c r="K115" i="17"/>
  <c r="K116" i="17" s="1"/>
  <c r="K117" i="17" s="1"/>
  <c r="S153" i="17"/>
  <c r="U13" i="18"/>
  <c r="U12" i="18"/>
  <c r="F11" i="21"/>
  <c r="F9" i="21"/>
  <c r="U25" i="18"/>
  <c r="U22" i="18"/>
  <c r="U19" i="18"/>
  <c r="AI144" i="17"/>
  <c r="AI145" i="17"/>
  <c r="Y212" i="17"/>
  <c r="F116" i="17"/>
  <c r="F117" i="17" s="1"/>
  <c r="AG212" i="17"/>
  <c r="V25" i="18"/>
  <c r="W8" i="18"/>
  <c r="W6" i="18"/>
  <c r="AE212" i="17"/>
  <c r="M200" i="17"/>
  <c r="AB154" i="17"/>
  <c r="V212" i="17"/>
  <c r="W210" i="17"/>
  <c r="AI210" i="17" s="1"/>
  <c r="Z215" i="17"/>
  <c r="AC154" i="17"/>
  <c r="X85" i="17"/>
  <c r="AI96" i="17"/>
  <c r="AD115" i="17"/>
  <c r="AD116" i="17" s="1"/>
  <c r="AD117" i="17" s="1"/>
  <c r="U181" i="17"/>
  <c r="AD181" i="17" s="1"/>
  <c r="AG219" i="17"/>
  <c r="U89" i="17"/>
  <c r="AI211" i="17"/>
  <c r="E217" i="17"/>
  <c r="U217" i="17" s="1"/>
  <c r="AI103" i="17"/>
  <c r="X101" i="17"/>
  <c r="E115" i="17"/>
  <c r="E116" i="17" s="1"/>
  <c r="E117" i="17" s="1"/>
  <c r="AG142" i="17"/>
  <c r="Z147" i="17"/>
  <c r="W162" i="17"/>
  <c r="AI162" i="17" s="1"/>
  <c r="AE152" i="17"/>
  <c r="W186" i="17"/>
  <c r="AI186" i="17" s="1"/>
  <c r="AE192" i="17"/>
  <c r="AI193" i="17"/>
  <c r="AI199" i="17"/>
  <c r="AG152" i="17"/>
  <c r="S200" i="17"/>
  <c r="AE189" i="17"/>
  <c r="X191" i="17"/>
  <c r="AB116" i="17"/>
  <c r="AG147" i="17"/>
  <c r="AA223" i="17"/>
  <c r="I116" i="17"/>
  <c r="I117" i="17" s="1"/>
  <c r="X106" i="17"/>
  <c r="U132" i="17"/>
  <c r="Z181" i="17"/>
  <c r="AB223" i="17"/>
  <c r="J101" i="17"/>
  <c r="N115" i="17"/>
  <c r="N116" i="17" s="1"/>
  <c r="N117" i="17" s="1"/>
  <c r="AI113" i="17"/>
  <c r="Q133" i="17"/>
  <c r="Q154" i="17" s="1"/>
  <c r="AI129" i="17"/>
  <c r="AI141" i="17"/>
  <c r="AI167" i="17"/>
  <c r="W181" i="17"/>
  <c r="U85" i="17"/>
  <c r="Z106" i="17"/>
  <c r="AI106" i="17" s="1"/>
  <c r="AI123" i="17"/>
  <c r="E147" i="17"/>
  <c r="E153" i="17" s="1"/>
  <c r="X152" i="17"/>
  <c r="AI164" i="17"/>
  <c r="K200" i="17"/>
  <c r="AI194" i="17"/>
  <c r="AI198" i="17"/>
  <c r="AG218" i="17"/>
  <c r="W127" i="17"/>
  <c r="Z218" i="17"/>
  <c r="AI111" i="17"/>
  <c r="AD133" i="17"/>
  <c r="K125" i="17"/>
  <c r="K133" i="17" s="1"/>
  <c r="R154" i="17"/>
  <c r="U149" i="17"/>
  <c r="AF222" i="17"/>
  <c r="W219" i="17"/>
  <c r="T223" i="17"/>
  <c r="AF90" i="17"/>
  <c r="AG104" i="17"/>
  <c r="AI109" i="17"/>
  <c r="M125" i="17"/>
  <c r="M133" i="17" s="1"/>
  <c r="W130" i="17"/>
  <c r="AI130" i="17" s="1"/>
  <c r="AI150" i="17"/>
  <c r="AI170" i="17"/>
  <c r="AI176" i="17"/>
  <c r="I201" i="17"/>
  <c r="I202" i="17" s="1"/>
  <c r="AG90" i="17"/>
  <c r="W89" i="17"/>
  <c r="AI89" i="17" s="1"/>
  <c r="H115" i="17"/>
  <c r="AI105" i="17"/>
  <c r="N125" i="17"/>
  <c r="N133" i="17" s="1"/>
  <c r="W149" i="17"/>
  <c r="AI149" i="17" s="1"/>
  <c r="G153" i="17"/>
  <c r="W166" i="17"/>
  <c r="AI166" i="17" s="1"/>
  <c r="U177" i="17"/>
  <c r="N178" i="17"/>
  <c r="AI98" i="17"/>
  <c r="Z124" i="17"/>
  <c r="AI124" i="17" s="1"/>
  <c r="P125" i="17"/>
  <c r="P133" i="17" s="1"/>
  <c r="AA154" i="17"/>
  <c r="AI160" i="17"/>
  <c r="AI175" i="17"/>
  <c r="Z191" i="17"/>
  <c r="AF133" i="17"/>
  <c r="AI138" i="17"/>
  <c r="W147" i="17"/>
  <c r="AI172" i="17"/>
  <c r="U191" i="17"/>
  <c r="X192" i="17"/>
  <c r="E212" i="17"/>
  <c r="U127" i="17"/>
  <c r="Z189" i="17"/>
  <c r="P91" i="17"/>
  <c r="Y101" i="17"/>
  <c r="H101" i="17"/>
  <c r="Y90" i="17"/>
  <c r="V101" i="17"/>
  <c r="AE104" i="17"/>
  <c r="AE115" i="17" s="1"/>
  <c r="AI108" i="17"/>
  <c r="Y133" i="17"/>
  <c r="AE132" i="17"/>
  <c r="Y153" i="17"/>
  <c r="O154" i="17"/>
  <c r="U166" i="17"/>
  <c r="AA201" i="17"/>
  <c r="AA202" i="17" s="1"/>
  <c r="F201" i="17"/>
  <c r="F202" i="17" s="1"/>
  <c r="Z192" i="17"/>
  <c r="AI197" i="17"/>
  <c r="E200" i="17"/>
  <c r="U208" i="17"/>
  <c r="U212" i="17" s="1"/>
  <c r="H212" i="17"/>
  <c r="H223" i="17" s="1"/>
  <c r="AC223" i="17"/>
  <c r="Y218" i="17"/>
  <c r="Y222" i="17" s="1"/>
  <c r="Y223" i="17" s="1"/>
  <c r="L115" i="17"/>
  <c r="L116" i="17" s="1"/>
  <c r="L117" i="17" s="1"/>
  <c r="AG99" i="17"/>
  <c r="W142" i="17"/>
  <c r="V153" i="17"/>
  <c r="F154" i="17"/>
  <c r="AG178" i="17"/>
  <c r="G178" i="17"/>
  <c r="W169" i="17"/>
  <c r="AE82" i="17"/>
  <c r="U169" i="17"/>
  <c r="AD169" i="17" s="1"/>
  <c r="AD178" i="17" s="1"/>
  <c r="X169" i="17"/>
  <c r="X178" i="17" s="1"/>
  <c r="AF101" i="17"/>
  <c r="AE101" i="17"/>
  <c r="AI97" i="17"/>
  <c r="Z101" i="17"/>
  <c r="X127" i="17"/>
  <c r="V130" i="17"/>
  <c r="AI137" i="17"/>
  <c r="W140" i="17"/>
  <c r="AI140" i="17" s="1"/>
  <c r="AI159" i="17"/>
  <c r="Y178" i="17"/>
  <c r="AI161" i="17"/>
  <c r="P171" i="17"/>
  <c r="P178" i="17" s="1"/>
  <c r="O171" i="17"/>
  <c r="O178" i="17" s="1"/>
  <c r="O201" i="17" s="1"/>
  <c r="O202" i="17" s="1"/>
  <c r="M171" i="17"/>
  <c r="W177" i="17"/>
  <c r="AI177" i="17" s="1"/>
  <c r="AI185" i="17"/>
  <c r="U192" i="17"/>
  <c r="U104" i="17"/>
  <c r="J107" i="17"/>
  <c r="J115" i="17" s="1"/>
  <c r="W101" i="17"/>
  <c r="M107" i="17"/>
  <c r="M115" i="17" s="1"/>
  <c r="AE90" i="17"/>
  <c r="AI100" i="17"/>
  <c r="AB117" i="17"/>
  <c r="AF153" i="17"/>
  <c r="U152" i="17"/>
  <c r="L171" i="17"/>
  <c r="AF200" i="17"/>
  <c r="V222" i="17"/>
  <c r="N222" i="17"/>
  <c r="N223" i="17" s="1"/>
  <c r="U218" i="17"/>
  <c r="AE218" i="17"/>
  <c r="AE222" i="17" s="1"/>
  <c r="AI128" i="17"/>
  <c r="Y115" i="17"/>
  <c r="AG95" i="17"/>
  <c r="X89" i="17"/>
  <c r="AD91" i="17"/>
  <c r="Z152" i="17"/>
  <c r="W152" i="17"/>
  <c r="R171" i="17"/>
  <c r="R178" i="17" s="1"/>
  <c r="R201" i="17" s="1"/>
  <c r="R202" i="17" s="1"/>
  <c r="W208" i="17"/>
  <c r="G212" i="17"/>
  <c r="Z104" i="17"/>
  <c r="G115" i="17"/>
  <c r="W104" i="17"/>
  <c r="S107" i="17"/>
  <c r="S115" i="17" s="1"/>
  <c r="R107" i="17"/>
  <c r="R115" i="17" s="1"/>
  <c r="R116" i="17" s="1"/>
  <c r="R117" i="17" s="1"/>
  <c r="P107" i="17"/>
  <c r="P115" i="17" s="1"/>
  <c r="O107" i="17"/>
  <c r="O115" i="17" s="1"/>
  <c r="O116" i="17" s="1"/>
  <c r="O117" i="17" s="1"/>
  <c r="J146" i="17"/>
  <c r="J153" i="17" s="1"/>
  <c r="H146" i="17"/>
  <c r="P146" i="17"/>
  <c r="N146" i="17"/>
  <c r="M146" i="17"/>
  <c r="M153" i="17" s="1"/>
  <c r="K146" i="17"/>
  <c r="K153" i="17" s="1"/>
  <c r="AI188" i="17"/>
  <c r="AF82" i="17"/>
  <c r="AG112" i="17"/>
  <c r="AI112" i="17"/>
  <c r="E178" i="17"/>
  <c r="W215" i="17"/>
  <c r="S91" i="17"/>
  <c r="AG82" i="17"/>
  <c r="AI110" i="17"/>
  <c r="AG110" i="17"/>
  <c r="V82" i="17"/>
  <c r="H90" i="17"/>
  <c r="H91" i="17" s="1"/>
  <c r="G82" i="17"/>
  <c r="W81" i="17"/>
  <c r="AI81" i="17" s="1"/>
  <c r="E82" i="17"/>
  <c r="V90" i="17"/>
  <c r="K87" i="17"/>
  <c r="AI95" i="17"/>
  <c r="AF115" i="17"/>
  <c r="AG108" i="17"/>
  <c r="U114" i="17"/>
  <c r="AE125" i="17"/>
  <c r="Z165" i="17"/>
  <c r="J178" i="17"/>
  <c r="W165" i="17"/>
  <c r="Y82" i="17"/>
  <c r="W85" i="17"/>
  <c r="J87" i="17"/>
  <c r="J90" i="17" s="1"/>
  <c r="U101" i="17"/>
  <c r="X104" i="17"/>
  <c r="Q115" i="17"/>
  <c r="Q116" i="17" s="1"/>
  <c r="W114" i="17"/>
  <c r="AI114" i="17" s="1"/>
  <c r="AA116" i="17"/>
  <c r="AI151" i="17"/>
  <c r="U165" i="17"/>
  <c r="S171" i="17"/>
  <c r="S178" i="17" s="1"/>
  <c r="AI173" i="17"/>
  <c r="AE178" i="17"/>
  <c r="Y200" i="17"/>
  <c r="U189" i="17"/>
  <c r="W192" i="17"/>
  <c r="J200" i="17"/>
  <c r="S216" i="17"/>
  <c r="P216" i="17"/>
  <c r="M216" i="17"/>
  <c r="J125" i="17"/>
  <c r="J133" i="17" s="1"/>
  <c r="H125" i="17"/>
  <c r="H133" i="17" s="1"/>
  <c r="S125" i="17"/>
  <c r="S133" i="17" s="1"/>
  <c r="W132" i="17"/>
  <c r="W136" i="17"/>
  <c r="AI136" i="17" s="1"/>
  <c r="AF178" i="17"/>
  <c r="K178" i="17"/>
  <c r="U182" i="17"/>
  <c r="V186" i="17"/>
  <c r="V200" i="17" s="1"/>
  <c r="W189" i="17"/>
  <c r="E216" i="17"/>
  <c r="U216" i="17" s="1"/>
  <c r="W218" i="17"/>
  <c r="AG103" i="17"/>
  <c r="E125" i="17"/>
  <c r="Z127" i="17"/>
  <c r="V133" i="17"/>
  <c r="G200" i="17"/>
  <c r="Q184" i="17"/>
  <c r="Q200" i="17" s="1"/>
  <c r="Q201" i="17" s="1"/>
  <c r="Q202" i="17" s="1"/>
  <c r="P184" i="17"/>
  <c r="P200" i="17" s="1"/>
  <c r="N184" i="17"/>
  <c r="N200" i="17" s="1"/>
  <c r="W191" i="17"/>
  <c r="G216" i="17"/>
  <c r="G222" i="17" s="1"/>
  <c r="G125" i="17"/>
  <c r="L154" i="17"/>
  <c r="H178" i="17"/>
  <c r="AI183" i="17"/>
  <c r="H184" i="17"/>
  <c r="H200" i="17" s="1"/>
  <c r="X189" i="17"/>
  <c r="AI196" i="17"/>
  <c r="X212" i="17"/>
  <c r="U215" i="17"/>
  <c r="X215" i="17"/>
  <c r="X222" i="17" s="1"/>
  <c r="J216" i="17"/>
  <c r="F222" i="17"/>
  <c r="F223" i="17" s="1"/>
  <c r="AG215" i="17"/>
  <c r="J221" i="17"/>
  <c r="V16" i="18" l="1"/>
  <c r="AI127" i="17"/>
  <c r="AG200" i="17"/>
  <c r="AI132" i="17"/>
  <c r="AI219" i="17"/>
  <c r="AF223" i="17"/>
  <c r="AE223" i="17"/>
  <c r="AI142" i="17"/>
  <c r="AI181" i="17"/>
  <c r="V19" i="18"/>
  <c r="AE200" i="17"/>
  <c r="AI82" i="17"/>
  <c r="V13" i="18"/>
  <c r="V22" i="18"/>
  <c r="E222" i="17"/>
  <c r="E223" i="17" s="1"/>
  <c r="K201" i="17"/>
  <c r="K202" i="17" s="1"/>
  <c r="AI191" i="17"/>
  <c r="AI165" i="17"/>
  <c r="X115" i="17"/>
  <c r="K154" i="17"/>
  <c r="AI147" i="17"/>
  <c r="X116" i="17"/>
  <c r="X117" i="17" s="1"/>
  <c r="V154" i="17"/>
  <c r="AI218" i="17"/>
  <c r="Z115" i="17"/>
  <c r="Z116" i="17" s="1"/>
  <c r="Z117" i="17" s="1"/>
  <c r="V223" i="17"/>
  <c r="Y91" i="17"/>
  <c r="AE133" i="17"/>
  <c r="X147" i="17"/>
  <c r="U147" i="17"/>
  <c r="J222" i="17"/>
  <c r="J223" i="17" s="1"/>
  <c r="AG115" i="17"/>
  <c r="X223" i="17"/>
  <c r="J91" i="17"/>
  <c r="V117" i="17"/>
  <c r="AD154" i="17"/>
  <c r="N201" i="17"/>
  <c r="N202" i="17" s="1"/>
  <c r="W171" i="17"/>
  <c r="AI171" i="17" s="1"/>
  <c r="U178" i="17"/>
  <c r="AI189" i="17"/>
  <c r="AI192" i="17"/>
  <c r="V91" i="17"/>
  <c r="AI104" i="17"/>
  <c r="Z169" i="17"/>
  <c r="Z178" i="17" s="1"/>
  <c r="Y116" i="17"/>
  <c r="Y117" i="17" s="1"/>
  <c r="X200" i="17"/>
  <c r="X201" i="17" s="1"/>
  <c r="X202" i="17" s="1"/>
  <c r="E201" i="17"/>
  <c r="E202" i="17" s="1"/>
  <c r="AI152" i="17"/>
  <c r="H116" i="17"/>
  <c r="H117" i="17" s="1"/>
  <c r="S116" i="17"/>
  <c r="S117" i="17" s="1"/>
  <c r="Q117" i="17"/>
  <c r="J116" i="17"/>
  <c r="J117" i="17" s="1"/>
  <c r="AE91" i="17"/>
  <c r="V115" i="17"/>
  <c r="AG146" i="17"/>
  <c r="AG153" i="17" s="1"/>
  <c r="P153" i="17"/>
  <c r="P154" i="17" s="1"/>
  <c r="AG91" i="17"/>
  <c r="X146" i="17"/>
  <c r="U146" i="17"/>
  <c r="H153" i="17"/>
  <c r="W115" i="17"/>
  <c r="G116" i="17"/>
  <c r="AE116" i="17"/>
  <c r="AE117" i="17" s="1"/>
  <c r="W184" i="17"/>
  <c r="X82" i="17"/>
  <c r="U82" i="17"/>
  <c r="E91" i="17"/>
  <c r="W107" i="17"/>
  <c r="AI107" i="17" s="1"/>
  <c r="H201" i="17"/>
  <c r="H202" i="17" s="1"/>
  <c r="AF91" i="17"/>
  <c r="W146" i="17"/>
  <c r="Z146" i="17"/>
  <c r="Z153" i="17" s="1"/>
  <c r="AF116" i="17"/>
  <c r="AF117" i="17" s="1"/>
  <c r="U115" i="17"/>
  <c r="M154" i="17"/>
  <c r="G201" i="17"/>
  <c r="G202" i="17" s="1"/>
  <c r="AE201" i="17"/>
  <c r="AE202" i="17" s="1"/>
  <c r="AI101" i="17"/>
  <c r="P201" i="17"/>
  <c r="P202" i="17" s="1"/>
  <c r="S201" i="17"/>
  <c r="S202" i="17" s="1"/>
  <c r="W212" i="17"/>
  <c r="AD208" i="17"/>
  <c r="AG201" i="17"/>
  <c r="AG202" i="17" s="1"/>
  <c r="W82" i="17"/>
  <c r="Z82" i="17"/>
  <c r="G91" i="17"/>
  <c r="J201" i="17"/>
  <c r="J202" i="17" s="1"/>
  <c r="S154" i="17"/>
  <c r="AI215" i="17"/>
  <c r="AI85" i="17"/>
  <c r="AE146" i="17"/>
  <c r="AE153" i="17" s="1"/>
  <c r="N153" i="17"/>
  <c r="N154" i="17" s="1"/>
  <c r="AF201" i="17"/>
  <c r="AF202" i="17" s="1"/>
  <c r="U222" i="17"/>
  <c r="U223" i="17" s="1"/>
  <c r="M221" i="17"/>
  <c r="K90" i="17"/>
  <c r="K91" i="17" s="1"/>
  <c r="X87" i="17"/>
  <c r="X90" i="17" s="1"/>
  <c r="M116" i="17"/>
  <c r="M117" i="17" s="1"/>
  <c r="Y201" i="17"/>
  <c r="Y202" i="17" s="1"/>
  <c r="G133" i="17"/>
  <c r="W125" i="17"/>
  <c r="Z125" i="17"/>
  <c r="Z133" i="17" s="1"/>
  <c r="U87" i="17"/>
  <c r="U90" i="17" s="1"/>
  <c r="V116" i="17"/>
  <c r="G223" i="17"/>
  <c r="P116" i="17"/>
  <c r="P117" i="17" s="1"/>
  <c r="L178" i="17"/>
  <c r="L201" i="17" s="1"/>
  <c r="L202" i="17" s="1"/>
  <c r="V171" i="17"/>
  <c r="V178" i="17" s="1"/>
  <c r="V201" i="17" s="1"/>
  <c r="V202" i="17" s="1"/>
  <c r="U184" i="17"/>
  <c r="U200" i="17" s="1"/>
  <c r="W216" i="17"/>
  <c r="AI216" i="17" s="1"/>
  <c r="E133" i="17"/>
  <c r="U125" i="17"/>
  <c r="X125" i="17"/>
  <c r="X133" i="17" s="1"/>
  <c r="AD182" i="17"/>
  <c r="J154" i="17"/>
  <c r="M87" i="17"/>
  <c r="M90" i="17" s="1"/>
  <c r="AG101" i="17"/>
  <c r="M178" i="17"/>
  <c r="AG125" i="17"/>
  <c r="AG133" i="17" s="1"/>
  <c r="AF154" i="17"/>
  <c r="V107" i="17"/>
  <c r="X19" i="17"/>
  <c r="Y19" i="17"/>
  <c r="Y21" i="17"/>
  <c r="AL22" i="17"/>
  <c r="AL14" i="17"/>
  <c r="AL15" i="17"/>
  <c r="AL18" i="17"/>
  <c r="AL20" i="17"/>
  <c r="AL25" i="17"/>
  <c r="AL31" i="17"/>
  <c r="AL45" i="17"/>
  <c r="AL46" i="17"/>
  <c r="AL54" i="17"/>
  <c r="AL66" i="17"/>
  <c r="R71" i="17"/>
  <c r="O71" i="17"/>
  <c r="F71" i="17"/>
  <c r="I71" i="17"/>
  <c r="L71" i="17"/>
  <c r="AE65" i="17"/>
  <c r="AF65" i="17"/>
  <c r="AG65" i="17"/>
  <c r="K67" i="17"/>
  <c r="F69" i="17"/>
  <c r="I69" i="17"/>
  <c r="L69" i="17"/>
  <c r="O69" i="17"/>
  <c r="R69" i="17"/>
  <c r="Q68" i="17"/>
  <c r="Q67" i="17"/>
  <c r="N68" i="17"/>
  <c r="N69" i="17" s="1"/>
  <c r="K68" i="17"/>
  <c r="H68" i="17"/>
  <c r="H69" i="17" s="1"/>
  <c r="E68" i="17"/>
  <c r="E69" i="17" s="1"/>
  <c r="Q64" i="17"/>
  <c r="Q61" i="17"/>
  <c r="N64" i="17"/>
  <c r="N61" i="17"/>
  <c r="K64" i="17"/>
  <c r="K61" i="17"/>
  <c r="K65" i="17" s="1"/>
  <c r="E64" i="17"/>
  <c r="E65" i="17" s="1"/>
  <c r="H64" i="17"/>
  <c r="H61" i="17"/>
  <c r="AF52" i="17"/>
  <c r="AF50" i="17"/>
  <c r="AG48" i="17"/>
  <c r="AF48" i="17"/>
  <c r="AE48" i="17"/>
  <c r="AF47" i="17"/>
  <c r="Y50" i="17"/>
  <c r="Y52" i="17"/>
  <c r="Z48" i="17"/>
  <c r="Y48" i="17"/>
  <c r="X48" i="17"/>
  <c r="Y47" i="17"/>
  <c r="H52" i="17"/>
  <c r="H50" i="17"/>
  <c r="E50" i="17"/>
  <c r="Q52" i="17"/>
  <c r="Q50" i="17"/>
  <c r="N52" i="17"/>
  <c r="N50" i="17"/>
  <c r="K52" i="17"/>
  <c r="K50" i="17"/>
  <c r="Q47" i="17"/>
  <c r="N47" i="17"/>
  <c r="K47" i="17"/>
  <c r="H47" i="17"/>
  <c r="E47" i="17"/>
  <c r="AF40" i="17"/>
  <c r="Y40" i="17"/>
  <c r="AF43" i="17"/>
  <c r="AF42" i="17"/>
  <c r="AG39" i="17"/>
  <c r="AF39" i="17"/>
  <c r="AE39" i="17"/>
  <c r="AF34" i="17"/>
  <c r="AF37" i="17"/>
  <c r="Y37" i="17"/>
  <c r="Q37" i="17"/>
  <c r="V37" i="17"/>
  <c r="Y34" i="17"/>
  <c r="AC44" i="17"/>
  <c r="Y42" i="17"/>
  <c r="Y43" i="17"/>
  <c r="Y39" i="17"/>
  <c r="V68" i="17"/>
  <c r="V67" i="17"/>
  <c r="V64" i="17"/>
  <c r="W63" i="17"/>
  <c r="V63" i="17"/>
  <c r="U63" i="17"/>
  <c r="W62" i="17"/>
  <c r="V62" i="17"/>
  <c r="U62" i="17"/>
  <c r="V61" i="17"/>
  <c r="W60" i="17"/>
  <c r="V60" i="17"/>
  <c r="U60" i="17"/>
  <c r="W59" i="17"/>
  <c r="V59" i="17"/>
  <c r="U59" i="17"/>
  <c r="W58" i="17"/>
  <c r="V58" i="17"/>
  <c r="U58" i="17"/>
  <c r="W57" i="17"/>
  <c r="V57" i="17"/>
  <c r="U57" i="17"/>
  <c r="W56" i="17"/>
  <c r="V56" i="17"/>
  <c r="U56" i="17"/>
  <c r="W55" i="17"/>
  <c r="V55" i="17"/>
  <c r="U55" i="17"/>
  <c r="V53" i="17"/>
  <c r="V52" i="17"/>
  <c r="W51" i="17"/>
  <c r="AL51" i="17" s="1"/>
  <c r="V51" i="17"/>
  <c r="U51" i="17"/>
  <c r="V50" i="17"/>
  <c r="W49" i="17"/>
  <c r="AL49" i="17" s="1"/>
  <c r="V49" i="17"/>
  <c r="U49" i="17"/>
  <c r="W48" i="17"/>
  <c r="V48" i="17"/>
  <c r="U48" i="17"/>
  <c r="V47" i="17"/>
  <c r="V43" i="17"/>
  <c r="V42" i="17"/>
  <c r="V40" i="17"/>
  <c r="V39" i="17"/>
  <c r="V35" i="17"/>
  <c r="V34" i="17"/>
  <c r="W33" i="17"/>
  <c r="V33" i="17"/>
  <c r="U33" i="17"/>
  <c r="AA37" i="17"/>
  <c r="AG33" i="17"/>
  <c r="AF33" i="17"/>
  <c r="AE33" i="17"/>
  <c r="AF35" i="17"/>
  <c r="Y33" i="17"/>
  <c r="Z33" i="17"/>
  <c r="Y35" i="17"/>
  <c r="X33" i="17"/>
  <c r="N37" i="17"/>
  <c r="N65" i="17" l="1"/>
  <c r="Q69" i="17"/>
  <c r="U117" i="17"/>
  <c r="AI169" i="17"/>
  <c r="AI178" i="17" s="1"/>
  <c r="U64" i="17"/>
  <c r="AF44" i="17"/>
  <c r="K53" i="17"/>
  <c r="U52" i="17"/>
  <c r="AE37" i="17"/>
  <c r="AI33" i="17"/>
  <c r="AL33" i="17" s="1"/>
  <c r="N53" i="17"/>
  <c r="X153" i="17"/>
  <c r="U116" i="17"/>
  <c r="AI48" i="17"/>
  <c r="AL48" i="17" s="1"/>
  <c r="U201" i="17"/>
  <c r="U202" i="17" s="1"/>
  <c r="H53" i="17"/>
  <c r="Y44" i="17"/>
  <c r="AF53" i="17"/>
  <c r="U50" i="17"/>
  <c r="V65" i="17"/>
  <c r="K69" i="17"/>
  <c r="U69" i="17" s="1"/>
  <c r="W87" i="17"/>
  <c r="W90" i="17" s="1"/>
  <c r="E53" i="17"/>
  <c r="H65" i="17"/>
  <c r="V69" i="17"/>
  <c r="Z87" i="17"/>
  <c r="Z90" i="17" s="1"/>
  <c r="Z91" i="17" s="1"/>
  <c r="X47" i="17"/>
  <c r="X53" i="17" s="1"/>
  <c r="U67" i="17"/>
  <c r="AA67" i="17" s="1"/>
  <c r="U47" i="17"/>
  <c r="AE47" i="17"/>
  <c r="AE53" i="17" s="1"/>
  <c r="W178" i="17"/>
  <c r="AI115" i="17"/>
  <c r="AI116" i="17" s="1"/>
  <c r="AI117" i="17" s="1"/>
  <c r="V44" i="17"/>
  <c r="Q53" i="17"/>
  <c r="Y53" i="17"/>
  <c r="Q65" i="17"/>
  <c r="AE154" i="17"/>
  <c r="AD200" i="17"/>
  <c r="Z182" i="17"/>
  <c r="M201" i="17"/>
  <c r="M202" i="17" s="1"/>
  <c r="Z154" i="17"/>
  <c r="AG154" i="17"/>
  <c r="E154" i="17"/>
  <c r="U133" i="17"/>
  <c r="AI125" i="17"/>
  <c r="AI133" i="17" s="1"/>
  <c r="P221" i="17"/>
  <c r="Z221" i="17"/>
  <c r="Z222" i="17" s="1"/>
  <c r="M222" i="17"/>
  <c r="M223" i="17" s="1"/>
  <c r="AG116" i="17"/>
  <c r="AG117" i="17" s="1"/>
  <c r="G117" i="17"/>
  <c r="W116" i="17"/>
  <c r="W153" i="17"/>
  <c r="M91" i="17"/>
  <c r="G154" i="17"/>
  <c r="W133" i="17"/>
  <c r="AD212" i="17"/>
  <c r="AD223" i="17" s="1"/>
  <c r="Z208" i="17"/>
  <c r="U91" i="17"/>
  <c r="U153" i="17"/>
  <c r="X91" i="17"/>
  <c r="H154" i="17"/>
  <c r="AI146" i="17"/>
  <c r="AI153" i="17" s="1"/>
  <c r="AI184" i="17"/>
  <c r="W200" i="17"/>
  <c r="U68" i="17"/>
  <c r="AA68" i="17" s="1"/>
  <c r="U61" i="17"/>
  <c r="AL36" i="17"/>
  <c r="W201" i="17" l="1"/>
  <c r="W202" i="17" s="1"/>
  <c r="U65" i="17"/>
  <c r="U53" i="17"/>
  <c r="U154" i="17"/>
  <c r="AI87" i="17"/>
  <c r="AI90" i="17" s="1"/>
  <c r="AI91" i="17" s="1"/>
  <c r="S221" i="17"/>
  <c r="S222" i="17" s="1"/>
  <c r="S223" i="17" s="1"/>
  <c r="P222" i="17"/>
  <c r="P223" i="17" s="1"/>
  <c r="W154" i="17"/>
  <c r="Z212" i="17"/>
  <c r="Z223" i="17" s="1"/>
  <c r="AI208" i="17"/>
  <c r="AI212" i="17" s="1"/>
  <c r="W117" i="17"/>
  <c r="AI154" i="17"/>
  <c r="W91" i="17"/>
  <c r="Z200" i="17"/>
  <c r="AI182" i="17"/>
  <c r="AI200" i="17" s="1"/>
  <c r="AD201" i="17"/>
  <c r="AD202" i="17" s="1"/>
  <c r="AG221" i="17" l="1"/>
  <c r="AG222" i="17" s="1"/>
  <c r="AG223" i="17" s="1"/>
  <c r="W221" i="17"/>
  <c r="W222" i="17" s="1"/>
  <c r="AI201" i="17"/>
  <c r="AI202" i="17" s="1"/>
  <c r="Z201" i="17"/>
  <c r="Z202" i="17" s="1"/>
  <c r="AI221" i="17"/>
  <c r="AI222" i="17" s="1"/>
  <c r="AI223" i="17" s="1"/>
  <c r="W223" i="17"/>
  <c r="P37" i="17"/>
  <c r="F44" i="17"/>
  <c r="I44" i="17"/>
  <c r="L44" i="17"/>
  <c r="O44" i="17"/>
  <c r="R44" i="17"/>
  <c r="Q42" i="17"/>
  <c r="Q34" i="17"/>
  <c r="N42" i="17"/>
  <c r="N34" i="17"/>
  <c r="K42" i="17"/>
  <c r="K35" i="17"/>
  <c r="N35" i="17" s="1"/>
  <c r="K34" i="17"/>
  <c r="H43" i="17"/>
  <c r="K43" i="17" s="1"/>
  <c r="N43" i="17" s="1"/>
  <c r="H42" i="17"/>
  <c r="H40" i="17"/>
  <c r="K40" i="17" s="1"/>
  <c r="N40" i="17" s="1"/>
  <c r="Q40" i="17" s="1"/>
  <c r="U40" i="17" s="1"/>
  <c r="H37" i="17"/>
  <c r="H35" i="17"/>
  <c r="H34" i="17"/>
  <c r="E43" i="17"/>
  <c r="E42" i="17"/>
  <c r="E39" i="17"/>
  <c r="E37" i="17"/>
  <c r="E35" i="17"/>
  <c r="E34" i="17"/>
  <c r="AF27" i="17"/>
  <c r="AF30" i="17" s="1"/>
  <c r="AB30" i="17"/>
  <c r="AC30" i="17"/>
  <c r="Y28" i="17"/>
  <c r="Y29" i="17"/>
  <c r="Y27" i="17"/>
  <c r="V27" i="17"/>
  <c r="V28" i="17"/>
  <c r="V29" i="17"/>
  <c r="Q30" i="17"/>
  <c r="N27" i="17"/>
  <c r="N30" i="17" s="1"/>
  <c r="K29" i="17"/>
  <c r="K27" i="17"/>
  <c r="H29" i="17"/>
  <c r="H28" i="17"/>
  <c r="H27" i="17"/>
  <c r="X27" i="17" s="1"/>
  <c r="X30" i="17" s="1"/>
  <c r="E28" i="17"/>
  <c r="AE42" i="17" l="1"/>
  <c r="Y30" i="17"/>
  <c r="V30" i="17"/>
  <c r="U29" i="17"/>
  <c r="X42" i="17"/>
  <c r="U28" i="17"/>
  <c r="AA28" i="17" s="1"/>
  <c r="Q43" i="17"/>
  <c r="U43" i="17" s="1"/>
  <c r="N44" i="17"/>
  <c r="Q35" i="17"/>
  <c r="U35" i="17" s="1"/>
  <c r="K30" i="17"/>
  <c r="U39" i="17"/>
  <c r="H44" i="17"/>
  <c r="U34" i="17"/>
  <c r="E44" i="17"/>
  <c r="X34" i="17"/>
  <c r="AE27" i="17"/>
  <c r="AE30" i="17" s="1"/>
  <c r="X35" i="17"/>
  <c r="AE34" i="17"/>
  <c r="U42" i="17"/>
  <c r="S37" i="17"/>
  <c r="U27" i="17"/>
  <c r="U30" i="17" l="1"/>
  <c r="Q44" i="17"/>
  <c r="AG37" i="17"/>
  <c r="AE35" i="17"/>
  <c r="AE43" i="17"/>
  <c r="AE44" i="17" s="1"/>
  <c r="AG23" i="17" l="1"/>
  <c r="AF23" i="17"/>
  <c r="AG21" i="17"/>
  <c r="AF21" i="17"/>
  <c r="AF19" i="17"/>
  <c r="AG17" i="17"/>
  <c r="AF17" i="17"/>
  <c r="AG16" i="17"/>
  <c r="AF16" i="17"/>
  <c r="AE23" i="17"/>
  <c r="AE21" i="17"/>
  <c r="AE17" i="17"/>
  <c r="AE16" i="17"/>
  <c r="Z23" i="17"/>
  <c r="Y23" i="17"/>
  <c r="Z17" i="17"/>
  <c r="Y17" i="17"/>
  <c r="Y16" i="17"/>
  <c r="X23" i="17"/>
  <c r="X17" i="17"/>
  <c r="W23" i="17"/>
  <c r="W17" i="17"/>
  <c r="V23" i="17"/>
  <c r="V21" i="17"/>
  <c r="V19" i="17"/>
  <c r="V17" i="17"/>
  <c r="V16" i="17"/>
  <c r="AA24" i="17"/>
  <c r="O5" i="18" s="1"/>
  <c r="O10" i="18" s="1"/>
  <c r="O28" i="18" s="1"/>
  <c r="AB24" i="17"/>
  <c r="P5" i="18" s="1"/>
  <c r="P10" i="18" s="1"/>
  <c r="P28" i="18" s="1"/>
  <c r="AC24" i="17"/>
  <c r="U23" i="17"/>
  <c r="U17" i="17"/>
  <c r="F24" i="17"/>
  <c r="I24" i="17"/>
  <c r="L24" i="17"/>
  <c r="O24" i="17"/>
  <c r="R24" i="17"/>
  <c r="Q19" i="17"/>
  <c r="Q24" i="17" s="1"/>
  <c r="N19" i="17"/>
  <c r="AE19" i="17" s="1"/>
  <c r="K21" i="17"/>
  <c r="K19" i="17"/>
  <c r="H21" i="17"/>
  <c r="H19" i="17"/>
  <c r="E21" i="17"/>
  <c r="U21" i="17" s="1"/>
  <c r="E16" i="17"/>
  <c r="U16" i="17" s="1"/>
  <c r="AE13" i="17"/>
  <c r="R4" i="18" s="1"/>
  <c r="AF10" i="17"/>
  <c r="AF13" i="17" s="1"/>
  <c r="S4" i="18" s="1"/>
  <c r="AG10" i="17"/>
  <c r="AG13" i="17" s="1"/>
  <c r="T4" i="18" s="1"/>
  <c r="AE10" i="17"/>
  <c r="Y10" i="17"/>
  <c r="Y13" i="17" s="1"/>
  <c r="M4" i="18" s="1"/>
  <c r="Z10" i="17"/>
  <c r="X10" i="17"/>
  <c r="X13" i="17" s="1"/>
  <c r="L4" i="18" s="1"/>
  <c r="V8" i="17"/>
  <c r="W8" i="17"/>
  <c r="V9" i="17"/>
  <c r="V10" i="17"/>
  <c r="W10" i="17"/>
  <c r="V11" i="17"/>
  <c r="W11" i="17"/>
  <c r="AA11" i="17" s="1"/>
  <c r="V12" i="17"/>
  <c r="W12" i="17"/>
  <c r="AA12" i="17" s="1"/>
  <c r="R13" i="17"/>
  <c r="Q13" i="17"/>
  <c r="P13" i="17"/>
  <c r="O13" i="17"/>
  <c r="N13" i="17"/>
  <c r="M13" i="17"/>
  <c r="L13" i="17"/>
  <c r="F13" i="17"/>
  <c r="H13" i="17"/>
  <c r="I13" i="17"/>
  <c r="J13" i="17"/>
  <c r="K13" i="17"/>
  <c r="U10" i="17"/>
  <c r="U11" i="17"/>
  <c r="U12" i="17"/>
  <c r="U8" i="17"/>
  <c r="E9" i="17"/>
  <c r="E13" i="17" s="1"/>
  <c r="H24" i="17" l="1"/>
  <c r="H70" i="17"/>
  <c r="H71" i="17" s="1"/>
  <c r="AI23" i="17"/>
  <c r="AL23" i="17" s="1"/>
  <c r="Q70" i="17"/>
  <c r="Q71" i="17" s="1"/>
  <c r="AF24" i="17"/>
  <c r="V24" i="17"/>
  <c r="J5" i="18" s="1"/>
  <c r="AI10" i="17"/>
  <c r="AL10" i="17" s="1"/>
  <c r="K24" i="17"/>
  <c r="E24" i="17"/>
  <c r="E70" i="17" s="1"/>
  <c r="E71" i="17" s="1"/>
  <c r="Y24" i="17"/>
  <c r="Z24" i="17"/>
  <c r="N5" i="18" s="1"/>
  <c r="U19" i="17"/>
  <c r="U24" i="17" s="1"/>
  <c r="I5" i="18" s="1"/>
  <c r="N24" i="17"/>
  <c r="V13" i="17"/>
  <c r="J4" i="18" s="1"/>
  <c r="U9" i="17"/>
  <c r="U13" i="17" s="1"/>
  <c r="I4" i="18" s="1"/>
  <c r="Z69" i="17"/>
  <c r="AA69" i="17"/>
  <c r="AB69" i="17"/>
  <c r="G43" i="17"/>
  <c r="S68" i="17"/>
  <c r="P68" i="17"/>
  <c r="P69" i="17" s="1"/>
  <c r="M68" i="17"/>
  <c r="J68" i="17"/>
  <c r="J69" i="17" s="1"/>
  <c r="G68" i="17"/>
  <c r="G69" i="17" s="1"/>
  <c r="J10" i="18" l="1"/>
  <c r="I10" i="18"/>
  <c r="AF70" i="17"/>
  <c r="AF71" i="17" s="1"/>
  <c r="S5" i="18"/>
  <c r="S10" i="18" s="1"/>
  <c r="E6" i="21" s="1"/>
  <c r="Y70" i="17"/>
  <c r="Y71" i="17" s="1"/>
  <c r="M5" i="18"/>
  <c r="M10" i="18" s="1"/>
  <c r="D6" i="21" s="1"/>
  <c r="V70" i="17"/>
  <c r="V71" i="17" s="1"/>
  <c r="W68" i="17"/>
  <c r="AD68" i="17" s="1"/>
  <c r="AI68" i="17" s="1"/>
  <c r="AL68" i="17" s="1"/>
  <c r="J43" i="17"/>
  <c r="M43" i="17" s="1"/>
  <c r="P43" i="17" s="1"/>
  <c r="N70" i="17"/>
  <c r="N71" i="17" s="1"/>
  <c r="AE24" i="17"/>
  <c r="E26" i="18"/>
  <c r="S67" i="17"/>
  <c r="AD37" i="17"/>
  <c r="J37" i="17"/>
  <c r="M37" i="17" s="1"/>
  <c r="G37" i="17"/>
  <c r="M67" i="17"/>
  <c r="M69" i="17" s="1"/>
  <c r="S61" i="17"/>
  <c r="P61" i="17"/>
  <c r="M61" i="17"/>
  <c r="J61" i="17"/>
  <c r="I28" i="18" l="1"/>
  <c r="I4" i="22" s="1"/>
  <c r="H4" i="22" s="1"/>
  <c r="C5" i="21"/>
  <c r="J28" i="18"/>
  <c r="I5" i="22" s="1"/>
  <c r="H5" i="22" s="1"/>
  <c r="C6" i="21"/>
  <c r="M28" i="18"/>
  <c r="S28" i="18"/>
  <c r="AE70" i="17"/>
  <c r="AE71" i="17" s="1"/>
  <c r="R5" i="18"/>
  <c r="R10" i="18" s="1"/>
  <c r="AD43" i="17"/>
  <c r="AB43" i="17" s="1"/>
  <c r="X43" i="17" s="1"/>
  <c r="W61" i="17"/>
  <c r="Z37" i="17"/>
  <c r="S43" i="17"/>
  <c r="W43" i="17" s="1"/>
  <c r="AG43" i="17"/>
  <c r="K37" i="17"/>
  <c r="W37" i="17"/>
  <c r="S69" i="17"/>
  <c r="W69" i="17" s="1"/>
  <c r="W67" i="17"/>
  <c r="Z43" i="17"/>
  <c r="C26" i="18"/>
  <c r="P29" i="18" l="1"/>
  <c r="M29" i="18"/>
  <c r="O29" i="18"/>
  <c r="R28" i="18"/>
  <c r="E5" i="21"/>
  <c r="E17" i="21" s="1"/>
  <c r="E18" i="21" s="1"/>
  <c r="C17" i="21"/>
  <c r="C18" i="21" s="1"/>
  <c r="F26" i="18"/>
  <c r="AI37" i="17"/>
  <c r="AL37" i="17" s="1"/>
  <c r="U37" i="17"/>
  <c r="K44" i="17"/>
  <c r="K70" i="17" s="1"/>
  <c r="K71" i="17" s="1"/>
  <c r="X37" i="17"/>
  <c r="X44" i="17" s="1"/>
  <c r="AI43" i="17"/>
  <c r="AL43" i="17" s="1"/>
  <c r="D26" i="18"/>
  <c r="AD67" i="17"/>
  <c r="AD69" i="17" s="1"/>
  <c r="Q26" i="18" s="1"/>
  <c r="U26" i="18" l="1"/>
  <c r="U44" i="17"/>
  <c r="U70" i="17" s="1"/>
  <c r="U71" i="17" s="1"/>
  <c r="AI67" i="17"/>
  <c r="AI69" i="17" s="1"/>
  <c r="AL69" i="17" s="1"/>
  <c r="AL67" i="17" l="1"/>
  <c r="AI63" i="17"/>
  <c r="AL63" i="17" s="1"/>
  <c r="J64" i="17"/>
  <c r="M64" i="17"/>
  <c r="P64" i="17"/>
  <c r="S64" i="17"/>
  <c r="G64" i="17"/>
  <c r="AI60" i="17"/>
  <c r="AL60" i="17" s="1"/>
  <c r="W64" i="17" l="1"/>
  <c r="W65" i="17" s="1"/>
  <c r="AD61" i="17"/>
  <c r="AI61" i="17" s="1"/>
  <c r="AL61" i="17" s="1"/>
  <c r="AI58" i="17"/>
  <c r="AL58" i="17" s="1"/>
  <c r="S52" i="17"/>
  <c r="P52" i="17"/>
  <c r="M52" i="17"/>
  <c r="J52" i="17"/>
  <c r="M50" i="17"/>
  <c r="P50" i="17"/>
  <c r="S50" i="17"/>
  <c r="J50" i="17"/>
  <c r="G50" i="17"/>
  <c r="S47" i="17"/>
  <c r="P47" i="17"/>
  <c r="M47" i="17"/>
  <c r="J47" i="17"/>
  <c r="G47" i="17"/>
  <c r="J42" i="17"/>
  <c r="M42" i="17"/>
  <c r="P42" i="17"/>
  <c r="S42" i="17"/>
  <c r="G42" i="17"/>
  <c r="J40" i="17"/>
  <c r="M40" i="17" s="1"/>
  <c r="P40" i="17" s="1"/>
  <c r="S40" i="17" s="1"/>
  <c r="W40" i="17" s="1"/>
  <c r="AI40" i="17" s="1"/>
  <c r="G39" i="17"/>
  <c r="S34" i="17"/>
  <c r="P34" i="17"/>
  <c r="M34" i="17"/>
  <c r="J34" i="17"/>
  <c r="G34" i="17"/>
  <c r="G35" i="17"/>
  <c r="J35" i="17"/>
  <c r="M35" i="17"/>
  <c r="P35" i="17" s="1"/>
  <c r="M29" i="17"/>
  <c r="J29" i="17"/>
  <c r="P27" i="17"/>
  <c r="M27" i="17"/>
  <c r="J27" i="17"/>
  <c r="Z27" i="17" s="1"/>
  <c r="G28" i="17"/>
  <c r="M21" i="17"/>
  <c r="Z42" i="17" l="1"/>
  <c r="AG47" i="17"/>
  <c r="AG53" i="17" s="1"/>
  <c r="Z35" i="17"/>
  <c r="J44" i="17"/>
  <c r="W52" i="17"/>
  <c r="AI52" i="17" s="1"/>
  <c r="AL52" i="17" s="1"/>
  <c r="M44" i="17"/>
  <c r="W42" i="17"/>
  <c r="AG42" i="17"/>
  <c r="AG27" i="17"/>
  <c r="AG30" i="17" s="1"/>
  <c r="W27" i="17"/>
  <c r="W50" i="17"/>
  <c r="Z30" i="17"/>
  <c r="W47" i="17"/>
  <c r="AG34" i="17"/>
  <c r="P44" i="17"/>
  <c r="W29" i="17"/>
  <c r="AI29" i="17" s="1"/>
  <c r="AL29" i="17" s="1"/>
  <c r="W34" i="17"/>
  <c r="Z47" i="17"/>
  <c r="G53" i="17"/>
  <c r="S35" i="17"/>
  <c r="W35" i="17" s="1"/>
  <c r="AG35" i="17"/>
  <c r="W39" i="17"/>
  <c r="J53" i="17"/>
  <c r="Z34" i="17"/>
  <c r="G44" i="17"/>
  <c r="AL40" i="17"/>
  <c r="M53" i="17"/>
  <c r="AD64" i="17"/>
  <c r="AI64" i="17" s="1"/>
  <c r="AL64" i="17" s="1"/>
  <c r="AD50" i="17"/>
  <c r="AG44" i="17" l="1"/>
  <c r="AI50" i="17"/>
  <c r="AL50" i="17" s="1"/>
  <c r="AI35" i="17"/>
  <c r="AL35" i="17" s="1"/>
  <c r="Z53" i="17"/>
  <c r="AI34" i="17"/>
  <c r="AL34" i="17" s="1"/>
  <c r="W44" i="17"/>
  <c r="AI27" i="17"/>
  <c r="AL27" i="17" s="1"/>
  <c r="AD39" i="17"/>
  <c r="AI47" i="17"/>
  <c r="AL47" i="17" s="1"/>
  <c r="AI42" i="17"/>
  <c r="AL42" i="17" s="1"/>
  <c r="Z57" i="17"/>
  <c r="Z56" i="17"/>
  <c r="AA39" i="17" l="1"/>
  <c r="AD44" i="17"/>
  <c r="AI56" i="17"/>
  <c r="AL56" i="17" s="1"/>
  <c r="AI57" i="17"/>
  <c r="AL57" i="17" s="1"/>
  <c r="Z44" i="17" l="1"/>
  <c r="AI39" i="17"/>
  <c r="AL39" i="17" s="1"/>
  <c r="S19" i="17"/>
  <c r="P19" i="17"/>
  <c r="M19" i="17"/>
  <c r="M24" i="17" s="1"/>
  <c r="J19" i="17"/>
  <c r="G9" i="17"/>
  <c r="S13" i="17"/>
  <c r="AG19" i="17" l="1"/>
  <c r="W19" i="17"/>
  <c r="P24" i="17"/>
  <c r="G13" i="17"/>
  <c r="W9" i="17"/>
  <c r="W13" i="17" l="1"/>
  <c r="AA9" i="17"/>
  <c r="F23" i="18"/>
  <c r="E23" i="18"/>
  <c r="D23" i="18"/>
  <c r="B23" i="18"/>
  <c r="F18" i="18"/>
  <c r="E18" i="18"/>
  <c r="D18" i="18"/>
  <c r="C18" i="18"/>
  <c r="B18" i="18"/>
  <c r="B15" i="18"/>
  <c r="B14" i="18"/>
  <c r="J65" i="17"/>
  <c r="M65" i="17"/>
  <c r="P65" i="17"/>
  <c r="S65" i="17"/>
  <c r="Z65" i="17"/>
  <c r="AA65" i="17"/>
  <c r="AB65" i="17"/>
  <c r="AD65" i="17"/>
  <c r="G65" i="17"/>
  <c r="B7" i="18"/>
  <c r="B8" i="18"/>
  <c r="AA53" i="17"/>
  <c r="AB53" i="17"/>
  <c r="AD53" i="17"/>
  <c r="P53" i="17"/>
  <c r="S53" i="17"/>
  <c r="W53" i="17" s="1"/>
  <c r="S44" i="17"/>
  <c r="M30" i="17"/>
  <c r="P30" i="17"/>
  <c r="S30" i="17"/>
  <c r="AA30" i="17"/>
  <c r="B4" i="18" l="1"/>
  <c r="B9" i="18"/>
  <c r="C24" i="18"/>
  <c r="D24" i="18"/>
  <c r="D25" i="18" s="1"/>
  <c r="E24" i="18"/>
  <c r="E25" i="18" s="1"/>
  <c r="F24" i="18"/>
  <c r="F25" i="18" s="1"/>
  <c r="B24" i="18"/>
  <c r="B25" i="18" s="1"/>
  <c r="F21" i="18"/>
  <c r="E21" i="18"/>
  <c r="D21" i="18"/>
  <c r="C21" i="18"/>
  <c r="B21" i="18"/>
  <c r="B16" i="18"/>
  <c r="D15" i="18"/>
  <c r="E15" i="18"/>
  <c r="C15" i="18"/>
  <c r="F15" i="18"/>
  <c r="F12" i="18"/>
  <c r="E12" i="18"/>
  <c r="D12" i="18"/>
  <c r="C7" i="18"/>
  <c r="D7" i="18"/>
  <c r="F4" i="18"/>
  <c r="E4" i="18"/>
  <c r="F9" i="18"/>
  <c r="F8" i="18"/>
  <c r="E7" i="18"/>
  <c r="F7" i="18"/>
  <c r="D9" i="18"/>
  <c r="F6" i="18"/>
  <c r="E6" i="18"/>
  <c r="D8" i="18"/>
  <c r="D6" i="18"/>
  <c r="D4" i="18"/>
  <c r="E9" i="18"/>
  <c r="C9" i="18"/>
  <c r="E8" i="18"/>
  <c r="C8" i="18"/>
  <c r="C4" i="18"/>
  <c r="C23" i="18"/>
  <c r="G16" i="17"/>
  <c r="J28" i="17"/>
  <c r="W28" i="17" s="1"/>
  <c r="J21" i="17"/>
  <c r="J24" i="17" s="1"/>
  <c r="G21" i="17"/>
  <c r="W30" i="17" l="1"/>
  <c r="E11" i="18"/>
  <c r="F11" i="18"/>
  <c r="W16" i="17"/>
  <c r="G24" i="17"/>
  <c r="X24" i="17"/>
  <c r="W21" i="17"/>
  <c r="AI21" i="17" s="1"/>
  <c r="AL21" i="17" s="1"/>
  <c r="B26" i="18"/>
  <c r="C25" i="18"/>
  <c r="C12" i="18"/>
  <c r="K4" i="18"/>
  <c r="AL38" i="17"/>
  <c r="AL41" i="17"/>
  <c r="AI59" i="17"/>
  <c r="AL59" i="17" s="1"/>
  <c r="AI62" i="17"/>
  <c r="AL62" i="17" s="1"/>
  <c r="C20" i="18"/>
  <c r="C22" i="18" s="1"/>
  <c r="D20" i="18"/>
  <c r="D22" i="18" s="1"/>
  <c r="E20" i="18"/>
  <c r="E22" i="18" s="1"/>
  <c r="B20" i="18"/>
  <c r="C14" i="18"/>
  <c r="F20" i="18"/>
  <c r="F22" i="18" s="1"/>
  <c r="B12" i="18"/>
  <c r="C11" i="18"/>
  <c r="AI55" i="17"/>
  <c r="AL55" i="17" s="1"/>
  <c r="G30" i="17"/>
  <c r="B6" i="18" s="1"/>
  <c r="J30" i="17"/>
  <c r="S24" i="17"/>
  <c r="AG24" i="17" s="1"/>
  <c r="T5" i="18" s="1"/>
  <c r="T10" i="18" s="1"/>
  <c r="T28" i="18" s="1"/>
  <c r="D5" i="22" s="1"/>
  <c r="AI26" i="17"/>
  <c r="AL26" i="17" s="1"/>
  <c r="AI32" i="17"/>
  <c r="X70" i="17" l="1"/>
  <c r="X71" i="17" s="1"/>
  <c r="L5" i="18"/>
  <c r="L10" i="18" s="1"/>
  <c r="D5" i="21" s="1"/>
  <c r="AL32" i="17"/>
  <c r="AI44" i="17"/>
  <c r="AL44" i="17" s="1"/>
  <c r="AG70" i="17"/>
  <c r="AG71" i="17" s="1"/>
  <c r="D11" i="18"/>
  <c r="B11" i="18"/>
  <c r="W24" i="17"/>
  <c r="K5" i="18" s="1"/>
  <c r="K10" i="18" s="1"/>
  <c r="K28" i="18" s="1"/>
  <c r="C3" i="22" s="1"/>
  <c r="C5" i="22" s="1"/>
  <c r="M70" i="17"/>
  <c r="B5" i="18"/>
  <c r="B10" i="18" s="1"/>
  <c r="G70" i="17"/>
  <c r="S70" i="17"/>
  <c r="S71" i="17" s="1"/>
  <c r="P70" i="17"/>
  <c r="P71" i="17" s="1"/>
  <c r="J70" i="17"/>
  <c r="J71" i="17" s="1"/>
  <c r="AD28" i="17"/>
  <c r="AA44" i="17"/>
  <c r="AI65" i="17"/>
  <c r="AL65" i="17" s="1"/>
  <c r="AI53" i="17"/>
  <c r="AL53" i="17" s="1"/>
  <c r="B22" i="18"/>
  <c r="C16" i="18"/>
  <c r="F17" i="18"/>
  <c r="F19" i="18" s="1"/>
  <c r="E17" i="18"/>
  <c r="E19" i="18" s="1"/>
  <c r="C17" i="18"/>
  <c r="C19" i="18" s="1"/>
  <c r="D17" i="18"/>
  <c r="D19" i="18" s="1"/>
  <c r="B17" i="18"/>
  <c r="D14" i="18"/>
  <c r="F5" i="18"/>
  <c r="F10" i="18" s="1"/>
  <c r="E5" i="18"/>
  <c r="E10" i="18" s="1"/>
  <c r="D5" i="18"/>
  <c r="D10" i="18" s="1"/>
  <c r="C5" i="18"/>
  <c r="C6" i="18"/>
  <c r="D17" i="21" l="1"/>
  <c r="D18" i="21" s="1"/>
  <c r="F5" i="21"/>
  <c r="F17" i="21" s="1"/>
  <c r="F18" i="21" s="1"/>
  <c r="L28" i="18"/>
  <c r="J29" i="18"/>
  <c r="I29" i="18"/>
  <c r="W5" i="18"/>
  <c r="W70" i="17"/>
  <c r="AD30" i="17"/>
  <c r="AI28" i="17"/>
  <c r="AL28" i="17" s="1"/>
  <c r="M71" i="17"/>
  <c r="C10" i="18"/>
  <c r="AB44" i="17"/>
  <c r="B19" i="18"/>
  <c r="D16" i="18"/>
  <c r="E14" i="18"/>
  <c r="F14" i="18"/>
  <c r="F16" i="18" s="1"/>
  <c r="B13" i="18"/>
  <c r="C13" i="18"/>
  <c r="D13" i="18"/>
  <c r="E13" i="18"/>
  <c r="L29" i="18" l="1"/>
  <c r="B28" i="18"/>
  <c r="D28" i="18"/>
  <c r="C28" i="18"/>
  <c r="AI30" i="17"/>
  <c r="E16" i="18"/>
  <c r="F13" i="18"/>
  <c r="AL30" i="17" l="1"/>
  <c r="U6" i="18"/>
  <c r="F28" i="18"/>
  <c r="E28" i="18"/>
  <c r="AD12" i="17" l="1"/>
  <c r="AD9" i="17"/>
  <c r="AD17" i="17"/>
  <c r="AI17" i="17" s="1"/>
  <c r="AL17" i="17" s="1"/>
  <c r="AD16" i="17"/>
  <c r="AI16" i="17" s="1"/>
  <c r="AL16" i="17" s="1"/>
  <c r="AD8" i="17"/>
  <c r="AI8" i="17" s="1"/>
  <c r="AL8" i="17" s="1"/>
  <c r="AI9" i="17" l="1"/>
  <c r="AL9" i="17" s="1"/>
  <c r="B31" i="18"/>
  <c r="W71" i="17"/>
  <c r="C73" i="17" s="1"/>
  <c r="G71" i="17"/>
  <c r="B33" i="18" l="1"/>
  <c r="Z12" i="17" l="1"/>
  <c r="AI12" i="17" l="1"/>
  <c r="AL12" i="17" s="1"/>
  <c r="Z13" i="17"/>
  <c r="N4" i="18" l="1"/>
  <c r="N10" i="18" l="1"/>
  <c r="N28" i="18" l="1"/>
  <c r="D4" i="22" l="1"/>
  <c r="C4" i="22" s="1"/>
  <c r="N29" i="18"/>
  <c r="AB13" i="17" l="1"/>
  <c r="AB70" i="17" l="1"/>
  <c r="AB71" i="17" s="1"/>
  <c r="Z70" i="17"/>
  <c r="Z71" i="17" l="1"/>
  <c r="AI19" i="17" l="1"/>
  <c r="AL19" i="17" s="1"/>
  <c r="AD24" i="17" l="1"/>
  <c r="Q5" i="18" s="1"/>
  <c r="AI24" i="17" l="1"/>
  <c r="AL24" i="17" l="1"/>
  <c r="U5" i="18"/>
  <c r="AD11" i="17" l="1"/>
  <c r="AA13" i="17"/>
  <c r="AD13" i="17" l="1"/>
  <c r="AI11" i="17"/>
  <c r="AL11" i="17" s="1"/>
  <c r="AD70" i="17"/>
  <c r="AD71" i="17" s="1"/>
  <c r="AA70" i="17"/>
  <c r="AA71" i="17" s="1"/>
  <c r="AI13" i="17" l="1"/>
  <c r="Q4" i="18"/>
  <c r="Q10" i="18" l="1"/>
  <c r="U10" i="18" s="1"/>
  <c r="U28" i="18" s="1"/>
  <c r="AL13" i="17"/>
  <c r="U4" i="18"/>
  <c r="AI70" i="17"/>
  <c r="AL70" i="17" s="1"/>
  <c r="Q28" i="18" l="1"/>
  <c r="D6" i="22" s="1"/>
  <c r="C6" i="22" s="1"/>
  <c r="D7" i="22"/>
  <c r="C7" i="22" s="1"/>
  <c r="V10" i="18"/>
  <c r="AI71" i="17"/>
  <c r="AL71" i="17" s="1"/>
  <c r="Q29" i="18" l="1"/>
  <c r="U29" i="18"/>
  <c r="V28" i="18"/>
</calcChain>
</file>

<file path=xl/sharedStrings.xml><?xml version="1.0" encoding="utf-8"?>
<sst xmlns="http://schemas.openxmlformats.org/spreadsheetml/2006/main" count="487" uniqueCount="327">
  <si>
    <t>UNIT COST</t>
  </si>
  <si>
    <t>Burimi I financimit</t>
  </si>
  <si>
    <t>Hendeku</t>
  </si>
  <si>
    <t>Programi</t>
  </si>
  <si>
    <t>Masa prioritare</t>
  </si>
  <si>
    <t>Gjithsej</t>
  </si>
  <si>
    <t>Ne % te totalit</t>
  </si>
  <si>
    <t>Gjithsej I.1</t>
  </si>
  <si>
    <t>Gjithsej I.2</t>
  </si>
  <si>
    <t>Gjithsej I.3</t>
  </si>
  <si>
    <t>Gjithsej II.1</t>
  </si>
  <si>
    <t>Gjithsej II.2</t>
  </si>
  <si>
    <t>Gjithsej II</t>
  </si>
  <si>
    <t>GJITHSEJ I</t>
  </si>
  <si>
    <t>Gjithsej IV</t>
  </si>
  <si>
    <t>Gjithsej III</t>
  </si>
  <si>
    <t>Gjithsej IV.1</t>
  </si>
  <si>
    <t>Gjithsej IV.2</t>
  </si>
  <si>
    <t>Buxheti gjithsej ne EUR</t>
  </si>
  <si>
    <t>Në përqindje</t>
  </si>
  <si>
    <t>Buxheti Garancia e femijeve</t>
  </si>
  <si>
    <t>1.1 Miratimi i kornizës UCB,duke përfshirë një kornizë monitorimi</t>
  </si>
  <si>
    <t>1.2 Përgatitja e opsioneve te kostos dhe strategjinë e financimit</t>
  </si>
  <si>
    <t>1.3 Fushatë kombëtare për të informuar familjet rreth procedurave të regjistrimit në UCB</t>
  </si>
  <si>
    <t>1.4 Vlerësim i skemës/shqyrtim afatmesëm dhe reflektim i ndryshimeve/rregullimeve sipas nevojës.</t>
  </si>
  <si>
    <t>I. MBROJTJA DHE MIRËQENIA E FËMIJËVE</t>
  </si>
  <si>
    <t>1.1 Rishikimi i kritereve të kualifikimit të përfitimeve të aftësisë së kufizuar për fëmijët për të siguruar përshtatshmërinë dhe barazinë</t>
  </si>
  <si>
    <t>1.2. Zgjerimi i mbulimit të sigurimeve shoqërore për ndihmësit personalë të fëmijëve me aftësi të kufizuara.</t>
  </si>
  <si>
    <t>2.1. Pajisja e qendrave komunitare dhe të kujdesit ditor me teknologji moderne ndihmëse për të përmirësuar ofrimin e shërbimeve dhe përfshirjen.</t>
  </si>
  <si>
    <t>Masa 3: Forcimi i komisioneve shumëdisiplinore</t>
  </si>
  <si>
    <t>3.1. Trajnimi i komisioneve shumëdisiplinore në nivel rajonal dhe lokal mbi vlerësimin dhe referimin e standardizuar për fëmijët me aftësi të kufizuara.</t>
  </si>
  <si>
    <t xml:space="preserve">4.1. Miratimi i protokolleve operative bashkiake që lidhin ndihmën financiare me shërbimet e kujdesit të përshtatura për fëmijët me aftësi të kufizuara     </t>
  </si>
  <si>
    <t>Masa 1: Forcimi i koordinimit ndërsektorial dhe menaxhimit të rasteve</t>
  </si>
  <si>
    <r>
      <t xml:space="preserve">1.1. Futja e trajnimeve profesionale të certifikuara mbi mbrojtjen e fëmijëve dhe menaxhimin e rasteve për fuqinë punëtore sociale </t>
    </r>
    <r>
      <rPr>
        <i/>
        <sz val="10"/>
        <color rgb="FF000000"/>
        <rFont val="Calibri"/>
        <family val="2"/>
      </rPr>
      <t>(përfshirë punonjësit socialë, administratorët socialë, PMF-në, etj.)</t>
    </r>
  </si>
  <si>
    <t>1.2. Miratimi i protokolleve kombëtare të koordinimit ndërsektorial dhe referimit për mbrojtjen e fëmijëve dhe menaxhimin e rasteve</t>
  </si>
  <si>
    <t>1.3. Ofrimi i trajnimeve të përbashkëta mbi menaxhimin e integruar të rasteve të përqendruara te fëmija (stafi i shkollës, ofruesit e kujdesit parësor shëndetësor dhe punonjësit socialë)</t>
  </si>
  <si>
    <t>1.1. Zhvillimi dhe pilotimi i një kurrikule edukimi për të ushqyerit të përshtatur sipas kulturës në Shqipëri</t>
  </si>
  <si>
    <t>1.2. Shtrirje e Qendrave të Fëmijëve dhe Familjeve si modele të integruara për ndërhyrje dhe mbështetje të hershme.</t>
  </si>
  <si>
    <t>1.3. Prezantimi i programeve të prindërimit në grup për familjet me të ardhura të ulëta.</t>
  </si>
  <si>
    <t>2.1. Funksionalizimi i qendrave rajonale si qendra të specializuara për kujdes shumëdisiplinor të informuar mbi traumën</t>
  </si>
  <si>
    <t>3.1. Miratimi i udhëzimeve operative për riintegrimin e fëmijëve në kujdesin familjar dhe komunitar.</t>
  </si>
  <si>
    <t>3.2. Ngritja e Qendrave Rajonale të Mbështetjes së Kujdesit Familjar për të trajnuar dhe mbikëqyrur familjet kujdestare</t>
  </si>
  <si>
    <t>4.1. Zhvillimi i një plani individual të daljes nga kujdesi për fëmijët migrantë, të miturit e pashoqëruar dhe fëmijët në institucione rezidenciale.</t>
  </si>
  <si>
    <t>4.2. Sigurimi I aksesit  në shërbime arsimore, shëndetësore, psikosociale dhe ligjore për fëmijët migrantë dhe të miturit e pashoqëruar</t>
  </si>
  <si>
    <t>Masa 1: Zgjerimi i shërbimeve të bazuara në komunitet dhe të lëvizshme për fëmijët me aftësi të kufizuara</t>
  </si>
  <si>
    <t>2.1. Zhvillimi dhe zbatimi i një kurrikule trajnimi për asistentët personalë të fëmijëve me aftësi të kufizuara</t>
  </si>
  <si>
    <t>3.1.  Vendosja e protokolleve dhe trajnimi i profesionistëve të vijës së parë (përfshirë shëndetin mendor dhe arsimin) mbi identifikimin dhe mbështetjen e hershme të fëmijëve me vonesa në zhvillim)</t>
  </si>
  <si>
    <t>1.1. Zbatimi në nivel kombëtar i Programit të Vizitave në Shtëpi me përparësi komunitetet rurale, të largëta, rome dhe egjiptiane</t>
  </si>
  <si>
    <t>1.2 Fushata depistimi në komunitetet me rrezik të lartë</t>
  </si>
  <si>
    <t>2.1. Tabela kontrolli (dashboard) të performancës dhe mekanizma monitorimi (feedback loop) në sistemet lokale të shëndetit dhe kujdesit social</t>
  </si>
  <si>
    <t>2.2. Zbatimi i mekanizmave të reagimeve dhe llogaridhënies bazuar në komunitet</t>
  </si>
  <si>
    <t xml:space="preserve">Masa 3: Promovimi i zhvillimit gjithëpërfshirës të fëmijëve dhe shkollave të sigurta </t>
  </si>
  <si>
    <t>3.1. Programet e shtrirjes së aktiviteteve në komunitet për të regjistruar fëmijët e cenueshëm në shërbimet parashkollore dhe të zhvillimit të fëmijërisë së hershme</t>
  </si>
  <si>
    <t>3.2. Kryerja e  fushatave vjetore shkollore të udhëhequra nga nxënësit kundër ngacmimit, diversitetit dhe përfshirjes.</t>
  </si>
  <si>
    <t>Gjithsej I.5</t>
  </si>
  <si>
    <t>Gjithsej I.4</t>
  </si>
  <si>
    <t>Gjithsej I.6</t>
  </si>
  <si>
    <t>1.1. Përmirësimi i aksesit në çerdhe dhe kopshte përmes rritjes së vendeve, fushatave të informimit për familjet dhe masave mbështetëse për regjistrimin e grupeve në disavantazh.</t>
  </si>
  <si>
    <t>1.2. Krijimi i një mekanizmi raportimi vjetor nëpërmjet INSTAT-it mbi të dhënat administrative për regjistrimet në çerdhe dhe kopshte, të ndara sipas moshës, gjinisë, vendndodhjes dhe statusit socio-ekonomik.</t>
  </si>
  <si>
    <t>2.1. Zhvillimi i një "dokumenti orientues" që shqyrton skenarët për shpërndarjen e përgjegjësive për arsimin parashkollor (0-6 vjeç)</t>
  </si>
  <si>
    <t>1.1. Finalizimi dhe miratimi i standardeve kombëtare të cilësisë së edukimit dhe kujdesit të fëmijëve dhe fëmijëve (ECEC</t>
  </si>
  <si>
    <t>2.1. Hartimi dhe validimi i një kuadri të unifikuar kurrikular të edukimit dhe edukimit të fëmijëve (ECEC) për moshën 0-6 vjeç dhe që përfshin arsimin gjithëpërfshirës.</t>
  </si>
  <si>
    <t>3.1. Rishikimi dhe përafrimi i kualifikimeve para shërbimit me standardet EQF.</t>
  </si>
  <si>
    <t>III. ARSIMI</t>
  </si>
  <si>
    <t>II. EDUKIMI E KUJDESI NE FEMIJERINE E HERSHME</t>
  </si>
  <si>
    <t>1.1. Zhvillimi dhe zbatimi i një kuadri të unifikuar të kualifikimit për të udhëzuar bashkitë dhe ofruesit e shërbimeve në mbështetjen e regjistrimit të fëmijëve në rrezik.</t>
  </si>
  <si>
    <t>2.1. Mbulimi i kostove të lidhura me arsimin për fëmijët në nevojë, duke përfshirë furnizimet për art, sporte, akses digjital, vizita kulturore.</t>
  </si>
  <si>
    <t>3.1. Ofrimi i bursave për nxënësit e shkollave të mesme të larta që janë në rrezik varfërie dhe përjashtimi social, për të zvogëluar barrierat ekonomike dhe për të parandaluar braktisjen e parakohshme të shkollës.</t>
  </si>
  <si>
    <t>Objektivi Specifik III. 2: Pajisja e shkollave për të qenë gjithëpërfshirëse dhe për të promovuar mjedise të barabarta mësimore</t>
  </si>
  <si>
    <t>2.1. Kryerja e një hartëzimi të shkollave në bashkëpunim me bashkitë për të identifikuar boshllëqet e aksesueshmërisë dhe nevojat e përfshirjes</t>
  </si>
  <si>
    <t>2.2. Sigurimi i zhvillimit dhe zbatimit të planeve të ndërhyrjes bashkiake për infrastrukturë shkollore të aksesueshme dhe gjithëpërfshirëse.</t>
  </si>
  <si>
    <t>Masa 3: Forcimi i kapaciteteve të mësuesve dhe stafit të shkollës në arsimin gjithëpërfshirës</t>
  </si>
  <si>
    <t>3.1. Integrimi i komponentëve të arsimit gjithëpërfshirës në kurrikulat e përgatitjes së mësuesve për në fillim të shërbimit.</t>
  </si>
  <si>
    <t>4.1. Përmbajtje digjitale dhe modele hibride të të nxënit për të mbështetur shkollat me burime të pamjaftueshme dhe shkollat që u shërbejnë pakicave etnike dhe gjuhësore</t>
  </si>
  <si>
    <t>5.1. Seanca të strukturuara pas shkolle në shkolla të zgjedhura që kombinojnë mbështetjen me detyrat e shtëpisë me aktivitete pasuruese (arte, sporte, aftësi digjitale) për të zgjeruar mundësitë e të nxënit.</t>
  </si>
  <si>
    <t>Gjithsej III.2</t>
  </si>
  <si>
    <t>Gjithsej III.1</t>
  </si>
  <si>
    <t>1.1. Hartimi dhe vendosja në përdorim e një Moduli te lidhur të Rrezikut të Cenueshmërisë së Fëmijëve brenda sistemit të Kujdesit Shëndetësor Parësor (KSHP), të lidhur me shërbimet e Mbrojtjes së Fëmijëve (MF), Regjistrin Elektronik Kombëtar për Rastet e Mbrojtjes së Fëmijëve (SHKSH), Sistemin e Paralajmërimit të Hershëm (EWS) dhe Regjistrin e Gjendjes Civile.</t>
  </si>
  <si>
    <t xml:space="preserve">1.2. Trajnimi i profesionistëve të kujdesit shëndetësor parësor </t>
  </si>
  <si>
    <t>1.3. Zgjerimi i depistimit shëndetësor të fëmijëve që në shkollë për të përfshirë shikimin, dëgjimin, shëndetin dentar, të ushqyerit dhe shëndetin mendor.</t>
  </si>
  <si>
    <t>2.1. Zgjerimi i Programit ekzistues të Vizitave në Shtëpi (PVSH) në të gjitha  bashkitë në Shqipëri</t>
  </si>
  <si>
    <t>2.2. Caktimi I nje5 kalendarir për vizitat në shtëpi bazuar në hartëzimin e cenueshmërisë lokale, si pjesë e zbatimit të PVSH-së.</t>
  </si>
  <si>
    <t>2.3. Trajnimi i profesionistëve të shëndetit në nivelin e Kujdesit Shëndetësor Parësor dhe ekipeve multidisiplinare mbi programin e vizitave në shtëpi</t>
  </si>
  <si>
    <t>2.4. Pajisja e ekipeve të vizitave në shtëpi dhe shërbimeve në terren me kite shëndetësore mobile dhe mjete digjitale</t>
  </si>
  <si>
    <t xml:space="preserve">2.5. Integrimi i monitorimit të zhvillimit (përfshirë shëndetin mendor) dhe këshillimin e kujdesit të përgjegjshëm në shërbimet e kujdesit parësor.  </t>
  </si>
  <si>
    <t>2.6. Ngritja e njësive të lëvizshme shëndetësore në terren në zonat rurale dhe të largëta të pashërbyera, duke plotësuar Programin e Vizitave në Shtëpi.</t>
  </si>
  <si>
    <t>IV. OFRIMI I SHËRBIMEVE THELBËSORE SHËNDETËSORE PËR TË GJITHË FËMIJËT</t>
  </si>
  <si>
    <t xml:space="preserve">1.1. Zhvillimi i një protokolli/manuali të dedikuar për depistimin e shëndetit mendor të fëmijëve të moshës 0-6 vjeç, duke përfshirë mjete standarde të despistimitt të zhvillimit dhe shëndetit mendor në  Kujdesin Shëndetësor Parësor </t>
  </si>
  <si>
    <t>1.2. Rishikimi dhe zgjerimi kombëtar i instrumentit të despistimit të shëndetit mendor dhe zhvillimit brenda protokolleve të Kujdesit Shëndetësor Parësor, duke u bazuar në përpjekjet ekzistuese në rrethe të zgjedhura.</t>
  </si>
  <si>
    <t>1.3. Ngritja e një sistemi referimi dhe ndjekjeje me shërbime të specializuara për zhvillimin e fëmijëve, veçanërisht me ato sociale.</t>
  </si>
  <si>
    <t>1.1. Vlerësimi i infrastrukturës dhe gatishmërisë digjitale në bashkitë e synuara</t>
  </si>
  <si>
    <t>1.2. Zhvillimi i një platforme të sigurt telepsikiatrie</t>
  </si>
  <si>
    <t>1.3. Forcimi i shërbimeve të shëndetit mendor të fëmijëve përmes telepsikiatrisë duke trajnuar ofruesit e kujdesit parësor dhe shërbimeve sociale, dhe duke krijuar një rrjet kombëtar specialistësh të shëndetit mendor të fëmijëve për të ofruar konsulta dhe mbikëqyrje në distancë.</t>
  </si>
  <si>
    <t>3.1. Hartimi dhe zbatImi ii fushatave psikoedukimi dhe parandaluese për promovimin e shëndetit mendor me bazë në komunitet, duke synuar fëmijët, adoleshentët, prindërit dhe komunitetet, duke u përqendruar në reduktimin e stigmës, mirëqenien emocionale, qëndrueshmërinë dhe parandalimin e dhunës</t>
  </si>
  <si>
    <t>3.2. Ngritja dhe forcimi i grupeve mbështetëse të prindërve dhe kujdestarëve dhe integrimi i qasjeve të përqendruara te familja në shërbimet e kujdesit parësor dhe shkollor, duke siguruar mjedise mbështetëse dhe kërkim ndihme të hershme për fëmijët.</t>
  </si>
  <si>
    <t>3.3. Trajnimi i udhëheqësve vendorë dhe ndërmjetësve të komunitetit në ndërgjegjësimin për shëndetin mendor të fëmijëve për të shërbyer si avokatë dhe lidhje referimi brenda komuniteteve.</t>
  </si>
  <si>
    <t>3.4. Integrimi I parandalimit të përdorimit të substancave dhe edukimit mbi rrezikun në fushatat e promovimit të shëndetit mendor me bazë në komunitet, duke synuar adoleshentët, prindërit dhe komunitetet.</t>
  </si>
  <si>
    <t>4.1. Hartëzimi i shërbimeve ekzistuese shëndetësore dhe rehabilituese për fëmijët me aftësi të kufizuara, për të identifikuar boshllëqet dhe dublikimet në shërbime</t>
  </si>
  <si>
    <t>4.2. Forcimi i bashkëpunimit shumëdisiplinor në nivel bashkiak midis sektorëve të kujdesit shëndetësor parësor, shërbimeve sociale dhe arsimit për fëmijët me aftësi të kufizuara</t>
  </si>
  <si>
    <t>4.3. Ndërtimi i kapaciteteve të ekipeve të Kujdesit Shëndetësor Parësor në identifikimin e hershëm, promovimin e shëndetit dhe rrugët e referimit për fëmijët me aftësi të kufizuara, në koordinim me strategjitë ekzistuese.</t>
  </si>
  <si>
    <t>4.4. Integrimi i konsideratave të aftësisë së kufizuar psikosociale të fëmijëve në programet e vazhdueshme të shtrirjes së aktiviteteve në komunitet dhe vizitave në shtëpi</t>
  </si>
  <si>
    <t>V. SIGURIMI I USHQYERJES SË SHËNDETSHME PËR TË GJITHË FËMIJËT</t>
  </si>
  <si>
    <t>1.1. Identifikimi i zonave prioritare dhe popullatave të synuara</t>
  </si>
  <si>
    <t>1.3. Krijimi i një rrjeti bashkëpunëtorësh</t>
  </si>
  <si>
    <t>1.4. Shpërndarja e ushqimit dhe programimi ushqimor</t>
  </si>
  <si>
    <t>2.1. Kryerja e një vlerësimi kombëtar të nevojave të nënpopullatës për mangësitë e mikronutrientëve tek fëmijët shqiptarë</t>
  </si>
  <si>
    <t>2.2. Ngritja e një programi të synuar për plotësimin dhe pasurimin e mikronutrientëve në Shqipëri</t>
  </si>
  <si>
    <t>2.3. Trajnimi i ofruesve të kujdesit shëndetësor në vijën e parë mbi protokollet e suplementimit me mikronutrientë të rekomanduara nga OBSH-ja</t>
  </si>
  <si>
    <t>2.4. Integrimi i monitorimit dhe gjurmimit të zinxhirit të furnizimit në sistemet kombëtare të informacionit shëndetësor</t>
  </si>
  <si>
    <t>3.1. Përditësimi dhe standardizimi i materialeve të këshillimit për UFFV në përputhje me udhëzimet e OBSH-së/UNICEF-it</t>
  </si>
  <si>
    <t>3.2. Ofrimi i trajnimeve kaskadë për stafin e qendrave shëndetësore mbi këshillimin për UFFV në kombinim me vizitat në shtëpi si i njëjti kanal i ofrimit të shërbimeve.</t>
  </si>
  <si>
    <t>3.3. Ngritja e këndeve të dedikuara të këshillimit për UFFV brenda qendrave shëndetësore</t>
  </si>
  <si>
    <t>3.4. Integrimi i këshillimit për UFFV në vizitat rutinë të shëndetit të nënës dhe fëmijës (MCH) dhe në të dhënat digjitale shëndetësore</t>
  </si>
  <si>
    <t>3.5. Zgjerimi dhe standardizimi i Sistemit Kombëtar të Monitorimit për Rritjen dhe Ushqyerjen e Fëmijëve (0–5 vjeç) brenda shërbimeve të Kujdesit Shëndetësor Parësor, duke siguruar ndjekje të ndarë sipas cenueshmërisë (familje rome, egjiptiane, rurale, migrante, me të ardhura të ulëta) dhe përdorimi i të dhënave për të ofruar këshillim dhe referime të synuara.</t>
  </si>
  <si>
    <t>4.2. Integrimi i objektivave të ushqyerjes së fëmijëve në zhvillimin rural dhe subvencionet bujqësore</t>
  </si>
  <si>
    <t>4.3. Organizimi i vlerësimeve të tregut lokal dhe forcimi i zinxhirëve të furnizimit për ushqime të fortifikuara dhe ushqyese</t>
  </si>
  <si>
    <t>Objektivi specifik V. 1: Sigurimi i aksesit në ushqim të shëndetshëm për të gjithë fëmijët në nevojë</t>
  </si>
  <si>
    <t>1.1. Kryerja e një analize kombëtare të situatës së programeve ekzistuese të mensave shkollore dhe nevojave të fëmijëve për ushqyerje në Shqipëri</t>
  </si>
  <si>
    <t>1.2. Hartimi i standardeve kombëtare ushqyese dhe udhëzimeve të vakteve sipas grupmoshës, në përputhje me rekomandimet e OBSH-së/FAO-s</t>
  </si>
  <si>
    <t>1.3. Zhvillimi i një plani zbatimi me kosto, tregues monitorimi dhe testime pilot</t>
  </si>
  <si>
    <t>1.4. Hartimi dhe zbatimi i një programi ushqimor shkollor me vlera ushqyese të mjaftueshme në shkollat pilot</t>
  </si>
  <si>
    <t>1.5. Kryerja e një auditimi të infrastrukturës së shkollave në bashkitë prioritare</t>
  </si>
  <si>
    <t>1.6. Financimi dhe mbikëqyrja e përmirësimit ose ndërtimit të kuzhinave dhe zonave të ngrënies së shkollës</t>
  </si>
  <si>
    <t>2.1 Lidhje e marrëveshjeve kuadër të prokurimit me furnizues të certifikuar vendorë të ushqimit dhe kooperativa fermerësh</t>
  </si>
  <si>
    <t>2.2. Trajnimi i stafit bashkiak dhe administratorëve të shkollave mbi sigurinë ushqimore, prokurimin dhe menaxhimin e zinxhirit të furnizimit</t>
  </si>
  <si>
    <t>3.1. Zhvillimi i materialeve edukative të të ushqyerit të përshtatshme për kulturën dhe sipas moshës</t>
  </si>
  <si>
    <t>3.2. Trajnimi i mësuesve dhe stafit të shkollës për ofrimin e përmbajtjes gjithëpërfshirëse mbi ushqyerjen në sistemin arsimor</t>
  </si>
  <si>
    <t>3.3. Integrimi i edukimit për ushqyerjen në aktivitetet dhe kurrikulat e përditshme shkollore</t>
  </si>
  <si>
    <t>3.4. Angazhimi i familjeve dhe komuniteteve për të mbështetur të nxënit mbi ushqyerjen</t>
  </si>
  <si>
    <t>4.1. Zhvillimi dhe pilotimi i një kurrikule edukimi për të ushqyerit të përshtatur sipas kulturës në Shqipëri</t>
  </si>
  <si>
    <t>4.2. Ngritja e grupeve mbështetëse të kujdestarëve të udhëhequra nga bashkëmoshatarët në komunitetet vulnerabël</t>
  </si>
  <si>
    <t>4.3. Lançimi i një fushate multimediale për ndryshimin e sjelljes mbi ushqyerjen e foshnjave dhe fëmijëve të vegjël në Shqipëri</t>
  </si>
  <si>
    <t>4.4. Integrimi i edukimit për ushqyerjen në shërbimet ekzistuese sociale dhe të fëmijërisë së hershme në Shqipëri</t>
  </si>
  <si>
    <t>Gjithsej V.1</t>
  </si>
  <si>
    <t>Gjithsej V.2</t>
  </si>
  <si>
    <t>Gjithsej V</t>
  </si>
  <si>
    <t>VI. STREHIMI</t>
  </si>
  <si>
    <t>1.1 Përmirësimi i bazave të të dhënave ekzistuese të strehimit për të mundësuar disagregimin për fëmijë</t>
  </si>
  <si>
    <t>2.2 Kritere transparente dhe të bazuara në nevoja për ndarjen e fondeve, duke përfshirë varfërinë e fëmijëve dhe nevojat për strehim.</t>
  </si>
  <si>
    <t>Gjithsej VI.1</t>
  </si>
  <si>
    <t>1.1. Zbatimi i një mekanizmi të qëndrueshëm për shqyrtimin periodik dhe përshtatjen e subvencioneve të qirasë në përputhje me çmimet e tregut dhe kërkesën, duke siguruar që familjet me fëmijë në situata vulnerabël të përfitojnë në mënyrë të drejtë dhe efektive nga skemat e subvencioneve të qirasë.</t>
  </si>
  <si>
    <t>1.2 Plotësimi i ndihmës për strehim me mbështetje për kostot e shërbimeve, duke u dhënë përparësi familjeve me fëmijë.</t>
  </si>
  <si>
    <t>1.3 Zbatimi i programeve të strehimit tranzitor me përparësi për familjet me fëmijë që përballen me dëbim ose mungesë strehimi.</t>
  </si>
  <si>
    <t>1.4 Rritja e granteve për rehabilitimin e shtëpive dhe riparime të vogla, duke synuar banesat e mbipopulluara ose nën standard me fëmijë, veçanërisht në zonat rurale.</t>
  </si>
  <si>
    <t>1.5 Zbatimi i Programit të Strehimit të Specializuar me standarde dhe procedura të qarta për fëmijët në situata shumë të cenueshme (fëmijë me aftësi të kufizuara - jetesë e pavarur e mbikëqyrur).</t>
  </si>
  <si>
    <t>2.1 Mbështetje për strehimin e fëmijëve në banesa jo-konvencionale (veçanërisht komunitetet rome)</t>
  </si>
  <si>
    <t>Gjithsej VI.2</t>
  </si>
  <si>
    <t>Gjithsej VI</t>
  </si>
  <si>
    <t xml:space="preserve">II. EDUKIMI E KUJDESI NE FEMIJERINE E HERSHME														</t>
  </si>
  <si>
    <t xml:space="preserve">III. ARSIMI														</t>
  </si>
  <si>
    <t xml:space="preserve">Objektivi specifik V. 1: Sigurimi i aksesit në ushqim të shëndetshëm për të gjithë fëmijët në nevojë									</t>
  </si>
  <si>
    <t xml:space="preserve">V. SIGURIMI I USHQYERJES SË SHËNDETSHME PËR TË GJITHË FËMIJËT												</t>
  </si>
  <si>
    <t xml:space="preserve">VI. STREHIMI												</t>
  </si>
  <si>
    <t>Gjithsej CHG</t>
  </si>
  <si>
    <t>Opsionale: UCB kosto</t>
  </si>
  <si>
    <t>Low cost AT 1500 USD, mid cost 1500 - 15,000</t>
  </si>
  <si>
    <t>pyet nese ka unit cost</t>
  </si>
  <si>
    <t>2124 per kjdesin paresor</t>
  </si>
  <si>
    <t>20% e buxhetit te qendrave</t>
  </si>
  <si>
    <t>3% e SHP produkti</t>
  </si>
  <si>
    <t>0,5% e SHP produkti</t>
  </si>
  <si>
    <t>4.1. Adresimi i çështjes së fëmijëve në lëvizje: sigurimi i aksesit në ushqimin thelbësor dhe shërbimet e kujdesit shëndetësor parësor për fëmijët refugjatë dhe migrantë</t>
  </si>
  <si>
    <t>Investime</t>
  </si>
  <si>
    <t>Shpenzime operative</t>
  </si>
  <si>
    <t>1.1. Ofrim i trajnimeve për mësuesit mbështetës dhe perditësim i rregullt i PEI në përputhje me standardet kombëtare.</t>
  </si>
  <si>
    <r>
      <t>2.1.</t>
    </r>
    <r>
      <rPr>
        <sz val="10"/>
        <color theme="1"/>
        <rFont val="Calibri"/>
        <family val="2"/>
      </rPr>
      <t>Vlerësimi i nevojave në të gjithë vendin për strehimin social për familjet dhe fëmijët në rrezik varfërie dhe përjashtimi social, në përputhje me Strategjinë e re të Strehimit Social, duke integruar kriteret e varfërisë dhe cenueshmërisë së fëmijëve.</t>
    </r>
  </si>
  <si>
    <t>Shpenzime operacionale</t>
  </si>
  <si>
    <r>
      <t>1.3 Zbatimi i aktiviteteve parashkollore për fëmijët në rrezik</t>
    </r>
    <r>
      <rPr>
        <i/>
        <sz val="10"/>
        <rFont val="Calibri"/>
        <family val="2"/>
      </rPr>
      <t>(lidhur me 2.5)</t>
    </r>
  </si>
  <si>
    <t>=</t>
  </si>
  <si>
    <t>5.2 UPSHIFT</t>
  </si>
  <si>
    <t>0.2 Strategjia e komunikimit</t>
  </si>
  <si>
    <t>Komunikim, vleresim dhe monitorim</t>
  </si>
  <si>
    <t>0. 1 Vleresimi afatmesem dhe perfundimtar i planit</t>
  </si>
  <si>
    <t>Masa 1.1 QKMZHF</t>
  </si>
  <si>
    <t>Masa 2: Pajisja e qendrave komunitare dhe ditore me teknologji ndihmëse</t>
  </si>
  <si>
    <t>Masa 1: Zgjerimi i shërbimeve  mbështetëse për fëmijët dhe familjen, duke përfshirë mbështetjen për prindërim pozitiv dhe kujdesin e qëndrueshëm në komunitet</t>
  </si>
  <si>
    <t>Masa 2: Ngritja e qendrave rajonale për kujdes shumëdisiplinor e të informuar mbi traumën.</t>
  </si>
  <si>
    <t xml:space="preserve">Masa 3. Forcimi i kujdesit alternativ dhe transformimi i kujdesit rezidencial në shërbime alternative për fëmijët </t>
  </si>
  <si>
    <t>Masa 4. Sigurimi i mbështetjes sistemike për fëmijët në situate migratore dhe të pashoqëruar, si dhe në institucionet rezidenciale</t>
  </si>
  <si>
    <t>Masa 1: ZZgjerimi i shërbimeve me bazë  komunitare dhe të lëvizëse për fëmijët me aftësi të kufizuara</t>
  </si>
  <si>
    <t>Masa 2: Profesionalizimi i fuqisë punëtore që mbështet fëmijët me aftësi të kufizuara.</t>
  </si>
  <si>
    <t>Masa 3: Fuqizimi i sistemit të identifikimit dhe ndërhyrjes së hershme</t>
  </si>
  <si>
    <t>Masa 1: Zgjerimi i shërbimeve të informimit dhe identifikimit të hershëm</t>
  </si>
  <si>
    <t>Masa 2: Forcimi i llogaridhënies dhe monitorimit të performancës së shërbimeve vendore shëndetësore dhe kujdesit shoqëror për të ofruar shërbime të integruara dhe të ndjeshme ndaj kulturës për shëndetin e fëmijëve.</t>
  </si>
  <si>
    <t>Objektivi specifik II.1. Zbatimi i masave që promovojnë aksesin gjithëpërfshirës dhe përmirësojnë cilësinë e shërbimeve të edukimit dhe kujdesit në fëmijërinë e hershme (0-6), me vëmendje të veçantë të fëmijët nga familje me të ardhura të ulëta dhe zona të largëta.</t>
  </si>
  <si>
    <t>Masa 1: Zbatimi i ndërhyrjeve për të rritur regjistrimin në EKFH, me fokus në aksesin e fëmijëve në rrezik dhe zona të largëta</t>
  </si>
  <si>
    <t>Masa 2. Përcaktimi dhe forcimi i kuadrit qeverisës për edukimin dhe kujdesin në fëmijërinë e hershme përmes përcaktimit të roleve, përgjegjësive dhe mekanizmave të qartë përgjegjshmërisë për autoritetet kombëtare dhe vendore.</t>
  </si>
  <si>
    <t>Objektivi specifik II.2. Përmirësimi i cilësisë së edukimit dhe kujdesit në fëmijërinë e hershme përmes standardeve të harmonizuara, kurrikulës dhe zhvillimit profesional.</t>
  </si>
  <si>
    <t>Masa 1: Miratimi dhe zbatimi i standardeve kombëtare të cilësisë për EKFH në përputhje me Kornizën Evropiane të Cilësisë</t>
  </si>
  <si>
    <t>Masa 2: Zhvillimi i të unifikuar kombëtare për grupmoshat 0–3 dhe 3–6 vjeç, me theks në përfshirje, mirëqenie dhe zhvillim të qendrueshëm.</t>
  </si>
  <si>
    <t>Masa 3: Harmonizimi i kualifikimeve me me standardet e Kornizës Evropiane të Kualifikimeve dhe zgjerimi i programeve të strukturuara për zhvillim të vazhdueshëm profesional për fuqinë puntore të EKFH</t>
  </si>
  <si>
    <t>Objektivi Specifik III.1:  Trajtimi i pengesave financiare dhe jofinanciare për pjesëmarrjen në shkollë</t>
  </si>
  <si>
    <t>Masa 1: Konsolidimi i masave të përfshirjes sociale sipas një kuadri të unifikuar të kritereve të përfitimit</t>
  </si>
  <si>
    <t>Masa 2: Sigurimi i aksesit falas në materiale bazë shkollore për fëmijët në nevojë.</t>
  </si>
  <si>
    <t>Masa 3: Pilotimi i një skeme mbështetjeje për fëmijët në rrezik të lidhur meparalajmërimin e hershëm për parandalimin e braktisjes së shkollore në arsimin e mesëm të lartë</t>
  </si>
  <si>
    <t>Masa 1: Fuqizimi i rolit të qendrave burimore në ofrimin e trajnimit dhe mbështetjes së vazhdueshme për mësuesit në arsimin gjithëpërfshirës dhe mësuesve ndihmës dhe përditësimi i PEI për fëmijët me aftësi të kufizuara.</t>
  </si>
  <si>
    <t>Masa 2: Përmirësimi i aksesueshmërisë dhe integrimi i planeve universale në shkollat ekzistuese</t>
  </si>
  <si>
    <t>Masa 4: Shtrirja e moduleve digjitale dhe materialeve hibride  të mësimdhënies për zonat me burime të pamjaftueshme dhe dominancë të minoriteteve për të përmirësuar aksesin në arsim dhe gjithëpërfshirjen.</t>
  </si>
  <si>
    <t>Masa 5: Planifikimi dhe zbatimi i programit “Pas shkollës” në shkollat publike për të ofruar mbështetje të strukturuar për kryerjen e detyrave të shtëpisë, mësimin, aktiviteteve jashtëshkollore dhe krijimin e një mjedisi mësimor gjithëpërfshirës.</t>
  </si>
  <si>
    <t>Objektivi specifik IV.1: Garantimi i aksesit të barabartë në shërbimet thelbësore dhe të integruara të shëndetësore për fëmijët, me fokus në kategoritë në rrezik</t>
  </si>
  <si>
    <t>Masa 1: Konsolidimi dhe përmirësimi i shërbimeve shëndetësore për fëmijët në rrezik</t>
  </si>
  <si>
    <t>Masa 2: Zgjerimi dhe shkallësimi i shërbimeve të kujdesit parësor shëndetësor përmes zbatimit kombëtar të Programit të Vizitave në Shtëpi (PVSH), me fokus në komunitetet rurale, të largëta, rome dhe egjiptiane</t>
  </si>
  <si>
    <t>Objektivi specifik IV.2: Zgjerimi i aksesit në shërbime të decentralizuara dhe gjithëpërfshirëse të shëndetit mendor për fëmijët në nivelin e kujdesit komunitar.</t>
  </si>
  <si>
    <t>Masa 1: Sigurimi i identifikimit të hershëm të problemeve të shëndetit mendor dhe zhvillimit tek fëmijët vulnerabël të moshës 0-6 vjeç përmes instrumenteve të standardizuara të depistimit në kontrollet e kujdesit parësor shëndetësor</t>
  </si>
  <si>
    <t>Masa 2: Sigurimi i aksesit në shërbimet e shëndetit mendor të fëmijëve nëpërmjet platformave të telepsikiatrisë, veçanërisht në zonat e pashërbyera, për të kapërcyer mungesën e aksesit në specialistë</t>
  </si>
  <si>
    <t>Masa 3: Zhvillimi i programeve të ndërgjegjësimit në komunitet mbështetjes së prindërve i për të reduktuar stigmën dhe nxitjen e kërkimit të ndihmës në fazat e hershme</t>
  </si>
  <si>
    <t>Masa 4: Fuqizimi i ofrimit dhe koordinimit të shërbimeve shëndetësore dhe të integruara shëndetësore-sociale për të parandaluar ndërlikimet dytësore shëndetësore tek fëmijët me aftësi të kufizuara psikosociale, në përputhje me politikat kombëtare për aftësinë e kufizuar.</t>
  </si>
  <si>
    <t>Masa 1: Ngritja e programeve ushqimore me bazë komunitare të fokusura në mirëushqyerjen e fëmijëve</t>
  </si>
  <si>
    <t>Masa 2: Sigurimi i aksesit universal në mikronutrientë dhe suplemente thelbësore për fëmijët dhe nënat shtatzëna/ laktacion në zonat rurale dhe të largëta, komunitetet rome, në përputhje me udhëzimet e OBSH-së.</t>
  </si>
  <si>
    <t>Masa 3: Fuqizimi i këshillimit për ushqyerjen e foshnjave dhe fëmijëve të vegjël (UFFV) brenda shërbimeve të Kujdesit Shëndetësor Parësor dhe krijimi i hapësirave të sigurta për këshillim</t>
  </si>
  <si>
    <t>Masa 4: Përmirësimi i aksesit në ushqime të përballueshme, të shëndetshme të furnizuara nga prodhues vendas përmes nismave të bazuara në komunitet që promovojnë sigurinë ushqimore dhe bujqësinë e qëndrueshme.</t>
  </si>
  <si>
    <t>Objektivi specifik V. 2: Akses universal në vakte  të shëndetshme në shkolla për të përmirësuar mirëushqyerjen, të nxënit dhe barazinë (duke synuar shkollat publike 9-vjeçare)</t>
  </si>
  <si>
    <t>Masa 1: Miratimi i një politike kombëtare për ushqimin në shkolla me me standarde të përcaktuara sipas moshës dhe në përputhje me rekomandimet e OBSH-së, si dhe pilotimi i vakteve shkollore universale dhe falas në bashkitë më të varfra</t>
  </si>
  <si>
    <t>Masa 2: Mbështetja e infrastrukturës shkollore dhe kapaciteteve të prokurimit për ofrimin e qëndrueshëm  të ushqimit në shkolla</t>
  </si>
  <si>
    <t>Masa 3: Integrimi i edukimit për mirë ushqyerjen në kurrikulat shkollore, aktivitetet jashtëshkollore dhe trajnimin e mësuesve</t>
  </si>
  <si>
    <t>Masa 4: Ofrimi i edukimit ushqimor të përshtatur sipas kulturës dhe mbështetjes për prindërit/ kujdestarët, në komunitetet rome, egjiptiane dhe familjet e cenueshme</t>
  </si>
  <si>
    <t>Masa 2. Sigurimi i shpërndarjes së drejtë të fondeve të strehimit bazuar në varfërinë dhe cenueshmërinë e fëmijëve dhe familjeve</t>
  </si>
  <si>
    <t>Masa 1. Zhvillimi i treguesve specifikë të strehimit për fëmijët</t>
  </si>
  <si>
    <t>Objektivi Specifik 2: Zgjerimi i aksesit në zgjidhje sensitive për strehimin e fëmijëve, përmes shërbimit të strehimit tranzitor, emergjente dhe afatgjatë të përshtatur për familjet dhe fëmijët në situata të cënueshme</t>
  </si>
  <si>
    <t>Masa 1. Zgjerimi I skemave të subvencionimit të qirasë, strehimit tranzitor dhe granteve për rehabilitimin e banesave, duke u dhënë përparësi familjeve me fëmijë.</t>
  </si>
  <si>
    <t>Masa 2: Rritja e aksesit në strehim për fëmijët në vendbanime jokonvencionale dhe të miturit e pashoqëruar.</t>
  </si>
  <si>
    <t xml:space="preserve">Objektivi specifik I.2  Garantimi i mbështetjes financiare dhe shërbime gjithëpërfshirëse dhe të barabartë për fëmijët me aftësi të kufizuara									</t>
  </si>
  <si>
    <t xml:space="preserve">Objektivi specifik I.3: Garantimi i aksesit për fëmijët vulnerabël në shërbime sociale të integruara, cilësore dhe të bazuara në komunitet, nëpërmjet një fuqie punëtore të profesionalizuar dhe koordinimit ndërsektorial.									</t>
  </si>
  <si>
    <t>Objektivi specifik I.4: Forcimi i mirëqenies së fëmijës dhe familjes përmes mbrojtjes gjithëpërfshirëse, të bazuar në komunitet dhe të specializuar për fëmijët në rrezik.</t>
  </si>
  <si>
    <t xml:space="preserve">Objektivi specifik I.4: Forcimi i mirëqenies së fëmijës dhe familjes përmes mbrojtjes gjithëpërfshirëse, të bazuar në komunitet dhe të specializuar për fëmijët në rrezik.									</t>
  </si>
  <si>
    <t>Objektivi specifik I.5: Fuqizimi dhe zgjerimi i shërbimeve me bazë komunitare për fëmijët me aftësi të kufizuara përmes mbështetjes me ekipi lëvizëse,ndihmësve personalë të trajnuar dhe identifikimit të hershëm.</t>
  </si>
  <si>
    <t xml:space="preserve">Objektivi specifik I.5: Fuqizimi dhe zgjerimi i shërbimeve me bazë komunitare për fëmijët me aftësi të kufizuara përmes mbështetjes me ekipi lëvizëse,ndihmësve personalë të trajnuar dhe identifikimit të hershëm.									</t>
  </si>
  <si>
    <t>Objektivi specifik I.6: Sigurimi i aksesit universal dhe të barabartë në shërbimet e shëndetit dhe zhvillimit të fëmijës përmes zgjermit të shërbimeve në terren, forcimit të  llogaridhënies dhe nxitjes së identifikimit të hershëm  dhe përfshirjes.</t>
  </si>
  <si>
    <t xml:space="preserve">Objektivi specifik I.6: Sigurimi i aksesit universal dhe të barabartë në shërbimet e shëndetit dhe zhvillimit të fëmijës përmes zgjermit të shërbimeve në terren, forcimit të  llogaridhënies dhe nxitjes së identifikimit të hershëm  dhe përfshirjes.									</t>
  </si>
  <si>
    <t xml:space="preserve">Objektivi specifik II.1. Zbatimi i masave që promovojnë aksesin gjithëpërfshirës dhe përmirësojnë cilësinë e shërbimeve të edukimit dhe kujdesit në fëmijërinë e hershme (0-6), me vëmendje të veçantë të fëmijët nga familje me të ardhura të ulëta dhe zona të largëta.									</t>
  </si>
  <si>
    <t xml:space="preserve">Objektivi specifik II.2. Përmirësimi i cilësisë së edukimit dhe kujdesit në fëmijërinë e hershme përmes standardeve të harmonizuara, kurrikulës dhe zhvillimit profesional.														</t>
  </si>
  <si>
    <t xml:space="preserve">Objektivi specifik III.1:  Trajtimi i pengesave financiare dhe jofinanciare për pjesëmarrjen në shkollë												</t>
  </si>
  <si>
    <t xml:space="preserve">Objektivi specifik III. 2: Pajisja e shkollave për të qenë gjithëpërfshirëse dhe për të promovuar mjedise të barabarta mësimore												</t>
  </si>
  <si>
    <t xml:space="preserve">Objektivi specifik I.1: Krijimi i një sistemi gjithëpërfshirës dhe të barabartë të përfitimeve për fëmijë që siguron një standard bazë jetese për të gjithë fëmijët.									</t>
  </si>
  <si>
    <t xml:space="preserve">Objektivi specifik IV.1: Garantimi i aksesit të barabartë në shërbimet thelbësore dhe të integruara të shëndetësore për fëmijët, me fokus në kategoritë në rrezik									</t>
  </si>
  <si>
    <t xml:space="preserve">Objektivi specifik IV.2: Zgjerimi i aksesit në shërbime të decentralizuara dhe gjithëpërfshirëse të shëndetit mendor për fëmijët në nivelin e kujdesit komunitar.									</t>
  </si>
  <si>
    <t>Objektivi specifik VI.1 Transformimi i politikave dhe sistemeve të strehimit drejt një qasjeje gjithëpërfshirëse, të orientuar nga fëmijët dhe bazuar në parimet e barazisë</t>
  </si>
  <si>
    <t>Objektivi specifik 2: Zgjerimi i aksesit në zgjidhje sensitive për strehimin e fëmijëve, përmes shërbimit të strehimit tranzitor, emergjente dhe afatgjatë të përshtatur për familjet dhe fëmijët në situata të cënueshme</t>
  </si>
  <si>
    <t>0. Komunikim, vlerësim dhe monitorim</t>
  </si>
  <si>
    <t>Masa 1: Masa 1: Miratimi i një kuadri rregullator dhe politikash të Përfitimit për Fëmijët</t>
  </si>
  <si>
    <t>Kosto indikative 2026</t>
  </si>
  <si>
    <t>Kosto indikative 2027</t>
  </si>
  <si>
    <t>Kosto indikative 2028</t>
  </si>
  <si>
    <t>Kosto indikative 2029</t>
  </si>
  <si>
    <t>Kosto indikative 2030</t>
  </si>
  <si>
    <t>Korrente</t>
  </si>
  <si>
    <t>Kapitale</t>
  </si>
  <si>
    <t>Gjithsej kosto indikative 2026 - 2030:</t>
  </si>
  <si>
    <t>PBA 2026 - 2028</t>
  </si>
  <si>
    <t>Financim i Huaj  (në  lekë)/ose jashte buxhetit</t>
  </si>
  <si>
    <t>Emri i donatorit/projektit</t>
  </si>
  <si>
    <t>Gjithsej financim i huaj</t>
  </si>
  <si>
    <t>PBA 2029 - 2031</t>
  </si>
  <si>
    <t>07330 MSHMS</t>
  </si>
  <si>
    <t>10430 MSHMS, Bashki</t>
  </si>
  <si>
    <t>10430 MSHMS</t>
  </si>
  <si>
    <t>09120 MA</t>
  </si>
  <si>
    <t>07220 MSHMS</t>
  </si>
  <si>
    <t>07450 MSHMS</t>
  </si>
  <si>
    <t>09120 Bashki</t>
  </si>
  <si>
    <t>10430 MSHMS, 07450 MSHMS</t>
  </si>
  <si>
    <t>Objektivi specifik I.2  Vendosja e një mbështetjeje financiare dhe shërbime gjithëpërfshirëse dhe të barabartë për fëmijët me aftësi të kufizuara</t>
  </si>
  <si>
    <t>Objektivi Specifik I.1: Krijimi i një sistemi gjithëpërfshirës dhe të barabartë të përfitimeve për fëmijë që siguron një standard bazë jetese per te gjithe femijet</t>
  </si>
  <si>
    <t>Masa 1. Sigurimi i mbështetjes së duhur për fëmijët me aftësi të kufizuara dhe ndihmësit personalë</t>
  </si>
  <si>
    <t>Masa 4: Harmonizimi i ndihmës në para dhe shërbimeve të  kujdesit për fëmijët me aftësi të kufizuara në nivel bashkie</t>
  </si>
  <si>
    <t>Objektivi specifik I.3: Garantimi i aksesit për fëmijët më vulnerabël në shërbime sociale të integruara, cilësore dhe të bazuara në komunitet, nëpërmjet një ekipi të profesionalizuar dhe koordinimit ndërsektorial.</t>
  </si>
  <si>
    <t>10430 MSHMS, 07220 MSHMS</t>
  </si>
  <si>
    <t>09120 MA, 09230 MA</t>
  </si>
  <si>
    <t>09230 MA</t>
  </si>
  <si>
    <t>1.2. Ngritja e programeve të ushqimit me bazë komunitare</t>
  </si>
  <si>
    <t>10430 Bashki</t>
  </si>
  <si>
    <t>09120 MA; 07450 MSHMS</t>
  </si>
  <si>
    <t>09120 MA, bashki</t>
  </si>
  <si>
    <t>06190 MEI</t>
  </si>
  <si>
    <t>01110 MB 16</t>
  </si>
  <si>
    <t>Kosto indikative gjithsej</t>
  </si>
  <si>
    <t>Kosto ne EUR</t>
  </si>
  <si>
    <t>(1 EUR=96 leke)</t>
  </si>
  <si>
    <t>Gjithsej FH</t>
  </si>
  <si>
    <t>Gjithsej BSH</t>
  </si>
  <si>
    <t>PBA 2026- 2028</t>
  </si>
  <si>
    <t>Financim i huaj/te tjera</t>
  </si>
  <si>
    <t>Financimi nga 2029</t>
  </si>
  <si>
    <t>PBA 2029- 2031</t>
  </si>
  <si>
    <t>Gjithsej 0</t>
  </si>
  <si>
    <t>Burimi i financimit deri 2028</t>
  </si>
  <si>
    <t>Nevojat  (në Lek)</t>
  </si>
  <si>
    <t>Qëllimi i Politikave</t>
  </si>
  <si>
    <t>Natyra/ Tipologjia e Kostove</t>
  </si>
  <si>
    <t>Kostoja Totale</t>
  </si>
  <si>
    <t>Kostot e Planifikuara</t>
  </si>
  <si>
    <t xml:space="preserve">Kosto për tu </t>
  </si>
  <si>
    <t>Hendeku Financiar</t>
  </si>
  <si>
    <t>2024-2030</t>
  </si>
  <si>
    <t>Planifikuar në</t>
  </si>
  <si>
    <t>Buxheti &amp; Donator</t>
  </si>
  <si>
    <t>Korente</t>
  </si>
  <si>
    <t>TOTALI [Leke]</t>
  </si>
  <si>
    <t>TOTALI [Euro]</t>
  </si>
  <si>
    <t xml:space="preserve"> I. MBROJTJA DHE MIRËQENIA E FËMIJËVE												</t>
  </si>
  <si>
    <t xml:space="preserve">Shhtylla  I. MBROJTJA DHE MIRËQENIA E FËMIJËVE	</t>
  </si>
  <si>
    <t>Shtylla 2:  EDUKIMI E KUJDESI NE FEMIJERINE E HERSHME</t>
  </si>
  <si>
    <t>ShtyllA 3.  ARSIMI</t>
  </si>
  <si>
    <t>SHTYLLA 4. OFRIMI I SHËRBIMEVE THELBËSORE SHËNDETËSORE PËR TË GJITHË FËMIJËT</t>
  </si>
  <si>
    <t xml:space="preserve">SHTYLLA V. SIGURIMI I USHQYERJES SË SHËNDETSHME PËR TË GJITHË FËMIJËT	</t>
  </si>
  <si>
    <t>SHTYLLA VI. STREHIMI</t>
  </si>
  <si>
    <t>2026-2030</t>
  </si>
  <si>
    <t>PBA 2026-2028</t>
  </si>
  <si>
    <t xml:space="preserve"> Buxhetin 2029-2031</t>
  </si>
  <si>
    <t>1 euro 96 Leke</t>
  </si>
  <si>
    <t>Kosto totale PKV</t>
  </si>
  <si>
    <t>Financim i huaj</t>
  </si>
  <si>
    <t>Hendek financiar</t>
  </si>
  <si>
    <t>Kostot sipas natyres ekonomike</t>
  </si>
  <si>
    <t>Kosto korrente</t>
  </si>
  <si>
    <t>Kosto kapitale</t>
  </si>
  <si>
    <t>Kostot sipas shtyllave te Garancise</t>
  </si>
  <si>
    <t>I. Mbrojtja dhe mireqenia</t>
  </si>
  <si>
    <t>II. Femijeria e hershme</t>
  </si>
  <si>
    <t>III. Arsimi</t>
  </si>
  <si>
    <t>IV. Shendeti</t>
  </si>
  <si>
    <t>V. Mireushqyerja</t>
  </si>
  <si>
    <t>VI. Strehimi</t>
  </si>
  <si>
    <t>Afati i zbatimit</t>
  </si>
  <si>
    <t>Afati i fillimit</t>
  </si>
  <si>
    <t>Afati i mbarimit</t>
  </si>
  <si>
    <t>Nderhyrja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</si>
</sst>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)\ _A_L_L_ ;_ * \(#,##0\)\ _A_L_L_ ;_ * &quot;-&quot;_)\ _A_L_L_ ;_ @_ "/>
    <numFmt numFmtId="165" formatCode="#,##0.0\ [$€-1]"/>
    <numFmt numFmtId="166" formatCode="#,##0.0\ &quot;ALL&quot;"/>
    <numFmt numFmtId="167" formatCode="#,##0\ &quot;ALL&quot;"/>
    <numFmt numFmtId="168" formatCode="0.0%"/>
    <numFmt numFmtId="169" formatCode="[$€-2]\ #,##0_);\([$€-2]\ #,##0\)"/>
    <numFmt numFmtId="170" formatCode="#,##0\ [$EUR]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0"/>
      <color rgb="FF000000"/>
      <name val="Calibri"/>
      <family val="2"/>
    </font>
    <font>
      <sz val="12"/>
      <color rgb="FFFF0000"/>
      <name val="Times New Roman"/>
      <family val="1"/>
    </font>
    <font>
      <sz val="8"/>
      <color rgb="FF000000"/>
      <name val="Garamond"/>
      <family val="2"/>
    </font>
    <font>
      <sz val="12"/>
      <name val="Times New Roman"/>
      <family val="1"/>
    </font>
    <font>
      <sz val="10"/>
      <color theme="1"/>
      <name val="Calibri"/>
      <family val="2"/>
    </font>
    <font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rgb="FFFFFFFF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9"/>
      <color rgb="FFFF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FFF2C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DashDot">
        <color rgb="FFC00000"/>
      </left>
      <right/>
      <top style="mediumDashDot">
        <color rgb="FFC00000"/>
      </top>
      <bottom style="mediumDashDot">
        <color rgb="FFC00000"/>
      </bottom>
      <diagonal/>
    </border>
    <border>
      <left/>
      <right/>
      <top style="mediumDashDot">
        <color rgb="FFC00000"/>
      </top>
      <bottom style="mediumDashDot">
        <color rgb="FFC00000"/>
      </bottom>
      <diagonal/>
    </border>
    <border>
      <left/>
      <right style="thin">
        <color indexed="64"/>
      </right>
      <top style="mediumDashDot">
        <color rgb="FFC00000"/>
      </top>
      <bottom style="mediumDashDot">
        <color rgb="FFC00000"/>
      </bottom>
      <diagonal/>
    </border>
    <border>
      <left/>
      <right style="mediumDashDot">
        <color rgb="FFC00000"/>
      </right>
      <top style="mediumDashDot">
        <color rgb="FFC00000"/>
      </top>
      <bottom style="mediumDashDot">
        <color rgb="FFC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/>
      <right style="double">
        <color rgb="FFC00000"/>
      </right>
      <top/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mediumDashDot">
        <color rgb="FFC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Dot">
        <color rgb="FFC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DashDot">
        <color rgb="FFC00000"/>
      </bottom>
      <diagonal/>
    </border>
    <border>
      <left/>
      <right style="medium">
        <color indexed="64"/>
      </right>
      <top/>
      <bottom style="medium">
        <color rgb="FF4472C4"/>
      </bottom>
      <diagonal/>
    </border>
    <border>
      <left/>
      <right style="medium">
        <color indexed="64"/>
      </right>
      <top style="medium">
        <color rgb="FF4472C4"/>
      </top>
      <bottom/>
      <diagonal/>
    </border>
    <border>
      <left/>
      <right style="medium">
        <color indexed="64"/>
      </right>
      <top/>
      <bottom style="medium">
        <color rgb="FF8EAADB"/>
      </bottom>
      <diagonal/>
    </border>
    <border>
      <left style="medium">
        <color indexed="64"/>
      </left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 style="medium">
        <color indexed="64"/>
      </right>
      <top style="medium">
        <color rgb="FF8EAADB"/>
      </top>
      <bottom/>
      <diagonal/>
    </border>
    <border>
      <left style="medium">
        <color indexed="64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405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1" fillId="5" borderId="1" xfId="0" applyNumberFormat="1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 wrapText="1"/>
    </xf>
    <xf numFmtId="165" fontId="0" fillId="7" borderId="5" xfId="0" applyNumberFormat="1" applyFill="1" applyBorder="1" applyAlignment="1">
      <alignment horizontal="center" vertical="center" wrapText="1"/>
    </xf>
    <xf numFmtId="167" fontId="1" fillId="7" borderId="5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6" borderId="0" xfId="0" applyFont="1" applyFill="1" applyAlignment="1">
      <alignment vertical="center" wrapText="1"/>
    </xf>
    <xf numFmtId="0" fontId="4" fillId="6" borderId="5" xfId="0" applyFont="1" applyFill="1" applyBorder="1" applyAlignment="1">
      <alignment horizontal="left"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167" fontId="17" fillId="6" borderId="5" xfId="0" applyNumberFormat="1" applyFont="1" applyFill="1" applyBorder="1" applyAlignment="1">
      <alignment horizontal="center" vertical="center" wrapText="1"/>
    </xf>
    <xf numFmtId="167" fontId="0" fillId="7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 wrapText="1"/>
    </xf>
    <xf numFmtId="167" fontId="0" fillId="0" borderId="1" xfId="0" applyNumberForma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7" fontId="1" fillId="4" borderId="5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left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15" fillId="7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3" fillId="0" borderId="0" xfId="2" applyFont="1" applyFill="1" applyBorder="1" applyAlignment="1">
      <alignment vertical="center"/>
    </xf>
    <xf numFmtId="0" fontId="7" fillId="10" borderId="1" xfId="0" applyFont="1" applyFill="1" applyBorder="1" applyAlignment="1">
      <alignment vertical="center" wrapText="1"/>
    </xf>
    <xf numFmtId="164" fontId="1" fillId="10" borderId="1" xfId="2" applyFont="1" applyFill="1" applyBorder="1" applyAlignment="1">
      <alignment vertical="center"/>
    </xf>
    <xf numFmtId="164" fontId="3" fillId="12" borderId="0" xfId="2" applyFont="1" applyFill="1" applyBorder="1" applyAlignment="1">
      <alignment vertical="center"/>
    </xf>
    <xf numFmtId="164" fontId="1" fillId="12" borderId="1" xfId="2" applyFont="1" applyFill="1" applyBorder="1" applyAlignment="1">
      <alignment vertical="center"/>
    </xf>
    <xf numFmtId="1" fontId="1" fillId="10" borderId="3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6" fontId="0" fillId="0" borderId="1" xfId="0" applyNumberFormat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center" vertical="center" textRotation="90" wrapText="1"/>
    </xf>
    <xf numFmtId="167" fontId="0" fillId="0" borderId="5" xfId="0" applyNumberFormat="1" applyBorder="1" applyAlignment="1">
      <alignment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165" fontId="7" fillId="7" borderId="6" xfId="0" applyNumberFormat="1" applyFont="1" applyFill="1" applyBorder="1" applyAlignment="1">
      <alignment horizontal="center" vertical="center" wrapText="1"/>
    </xf>
    <xf numFmtId="3" fontId="3" fillId="4" borderId="0" xfId="4" applyNumberFormat="1" applyFill="1" applyAlignment="1" applyProtection="1">
      <alignment wrapText="1"/>
      <protection locked="0"/>
    </xf>
    <xf numFmtId="165" fontId="0" fillId="4" borderId="1" xfId="0" applyNumberForma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7" fontId="0" fillId="4" borderId="5" xfId="0" applyNumberFormat="1" applyFill="1" applyBorder="1" applyAlignment="1">
      <alignment vertical="center" wrapText="1"/>
    </xf>
    <xf numFmtId="167" fontId="0" fillId="4" borderId="5" xfId="0" applyNumberForma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170" fontId="17" fillId="6" borderId="5" xfId="0" applyNumberFormat="1" applyFont="1" applyFill="1" applyBorder="1" applyAlignment="1">
      <alignment horizontal="center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165" fontId="7" fillId="7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168" fontId="9" fillId="0" borderId="0" xfId="1" applyNumberFormat="1" applyFont="1"/>
    <xf numFmtId="9" fontId="1" fillId="10" borderId="1" xfId="1" applyFont="1" applyFill="1" applyBorder="1" applyAlignment="1">
      <alignment vertical="center"/>
    </xf>
    <xf numFmtId="9" fontId="1" fillId="12" borderId="1" xfId="1" applyFont="1" applyFill="1" applyBorder="1" applyAlignment="1">
      <alignment vertical="center"/>
    </xf>
    <xf numFmtId="167" fontId="1" fillId="5" borderId="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8" fillId="4" borderId="17" xfId="0" applyFont="1" applyFill="1" applyBorder="1" applyAlignment="1">
      <alignment horizontal="justify" vertical="center" wrapText="1"/>
    </xf>
    <xf numFmtId="0" fontId="11" fillId="7" borderId="8" xfId="0" applyFont="1" applyFill="1" applyBorder="1" applyAlignment="1">
      <alignment vertical="center" wrapText="1"/>
    </xf>
    <xf numFmtId="0" fontId="0" fillId="9" borderId="0" xfId="0" applyFill="1" applyAlignment="1">
      <alignment horizontal="left" vertical="center" wrapText="1"/>
    </xf>
    <xf numFmtId="170" fontId="2" fillId="0" borderId="5" xfId="0" applyNumberFormat="1" applyFont="1" applyBorder="1" applyAlignment="1">
      <alignment horizontal="center" vertical="center" wrapText="1"/>
    </xf>
    <xf numFmtId="167" fontId="1" fillId="7" borderId="9" xfId="0" applyNumberFormat="1" applyFont="1" applyFill="1" applyBorder="1" applyAlignment="1">
      <alignment horizontal="center" vertical="center" wrapText="1"/>
    </xf>
    <xf numFmtId="167" fontId="1" fillId="9" borderId="19" xfId="0" applyNumberFormat="1" applyFont="1" applyFill="1" applyBorder="1" applyAlignment="1">
      <alignment horizontal="center" vertical="center" wrapText="1"/>
    </xf>
    <xf numFmtId="167" fontId="1" fillId="9" borderId="20" xfId="0" applyNumberFormat="1" applyFont="1" applyFill="1" applyBorder="1" applyAlignment="1">
      <alignment horizontal="center" vertical="center" wrapText="1"/>
    </xf>
    <xf numFmtId="167" fontId="1" fillId="9" borderId="21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 wrapText="1"/>
    </xf>
    <xf numFmtId="165" fontId="0" fillId="7" borderId="9" xfId="0" applyNumberForma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vertical="center" wrapText="1"/>
    </xf>
    <xf numFmtId="0" fontId="2" fillId="9" borderId="19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center" vertical="center" textRotation="90" wrapText="1"/>
    </xf>
    <xf numFmtId="165" fontId="0" fillId="9" borderId="5" xfId="0" applyNumberFormat="1" applyFill="1" applyBorder="1" applyAlignment="1">
      <alignment horizontal="center" vertical="center" wrapText="1"/>
    </xf>
    <xf numFmtId="167" fontId="0" fillId="9" borderId="5" xfId="0" applyNumberFormat="1" applyFill="1" applyBorder="1" applyAlignment="1">
      <alignment horizontal="center" vertical="center" wrapText="1"/>
    </xf>
    <xf numFmtId="167" fontId="0" fillId="9" borderId="1" xfId="0" applyNumberForma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64" fontId="0" fillId="0" borderId="0" xfId="2" applyFont="1"/>
    <xf numFmtId="0" fontId="0" fillId="3" borderId="4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3" fontId="0" fillId="0" borderId="5" xfId="0" applyNumberFormat="1" applyBorder="1" applyAlignment="1">
      <alignment horizontal="left" vertical="center" wrapText="1"/>
    </xf>
    <xf numFmtId="0" fontId="22" fillId="0" borderId="15" xfId="0" applyFont="1" applyBorder="1" applyAlignment="1">
      <alignment horizontal="justify" vertical="center" wrapText="1"/>
    </xf>
    <xf numFmtId="164" fontId="23" fillId="13" borderId="22" xfId="2" applyFont="1" applyFill="1" applyBorder="1" applyAlignment="1">
      <alignment horizontal="right" vertical="center" wrapText="1"/>
    </xf>
    <xf numFmtId="164" fontId="2" fillId="0" borderId="5" xfId="2" applyFont="1" applyBorder="1" applyAlignment="1">
      <alignment horizontal="left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6" xfId="0" applyFont="1" applyBorder="1" applyAlignment="1">
      <alignment horizontal="justify" vertical="center" wrapText="1"/>
    </xf>
    <xf numFmtId="168" fontId="8" fillId="0" borderId="0" xfId="1" applyNumberFormat="1" applyFont="1"/>
    <xf numFmtId="167" fontId="2" fillId="0" borderId="1" xfId="0" applyNumberFormat="1" applyFont="1" applyBorder="1" applyAlignment="1">
      <alignment horizontal="left" vertical="center" wrapText="1"/>
    </xf>
    <xf numFmtId="164" fontId="0" fillId="0" borderId="5" xfId="2" applyFont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164" fontId="1" fillId="11" borderId="4" xfId="2" applyFont="1" applyFill="1" applyBorder="1" applyAlignment="1">
      <alignment vertical="center"/>
    </xf>
    <xf numFmtId="164" fontId="1" fillId="12" borderId="4" xfId="2" applyFont="1" applyFill="1" applyBorder="1" applyAlignment="1">
      <alignment vertical="center"/>
    </xf>
    <xf numFmtId="164" fontId="1" fillId="12" borderId="5" xfId="2" applyFont="1" applyFill="1" applyBorder="1" applyAlignment="1">
      <alignment vertical="center"/>
    </xf>
    <xf numFmtId="164" fontId="3" fillId="12" borderId="5" xfId="2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vertical="center"/>
    </xf>
    <xf numFmtId="0" fontId="27" fillId="14" borderId="1" xfId="0" applyFont="1" applyFill="1" applyBorder="1" applyAlignment="1">
      <alignment horizontal="left" vertical="center" wrapText="1"/>
    </xf>
    <xf numFmtId="164" fontId="0" fillId="0" borderId="0" xfId="2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/>
    <xf numFmtId="0" fontId="12" fillId="0" borderId="17" xfId="0" applyFont="1" applyBorder="1" applyAlignment="1">
      <alignment horizontal="justify" vertical="center" wrapText="1"/>
    </xf>
    <xf numFmtId="168" fontId="0" fillId="0" borderId="0" xfId="1" applyNumberFormat="1" applyFont="1"/>
    <xf numFmtId="0" fontId="12" fillId="0" borderId="4" xfId="0" applyFont="1" applyBorder="1" applyAlignment="1">
      <alignment horizontal="justify" vertical="center" wrapText="1"/>
    </xf>
    <xf numFmtId="0" fontId="7" fillId="8" borderId="2" xfId="0" applyFont="1" applyFill="1" applyBorder="1" applyAlignment="1">
      <alignment vertical="center" wrapText="1"/>
    </xf>
    <xf numFmtId="164" fontId="3" fillId="8" borderId="0" xfId="2" applyFont="1" applyFill="1" applyBorder="1" applyAlignment="1">
      <alignment vertical="center"/>
    </xf>
    <xf numFmtId="164" fontId="3" fillId="15" borderId="0" xfId="2" applyFont="1" applyFill="1" applyBorder="1" applyAlignment="1">
      <alignment vertical="center"/>
    </xf>
    <xf numFmtId="164" fontId="1" fillId="15" borderId="5" xfId="2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4" fontId="23" fillId="13" borderId="0" xfId="2" applyFont="1" applyFill="1" applyBorder="1" applyAlignment="1">
      <alignment horizontal="right" vertical="center" wrapText="1"/>
    </xf>
    <xf numFmtId="1" fontId="1" fillId="5" borderId="8" xfId="0" applyNumberFormat="1" applyFont="1" applyFill="1" applyBorder="1" applyAlignment="1">
      <alignment horizontal="center" vertical="center" wrapText="1"/>
    </xf>
    <xf numFmtId="1" fontId="1" fillId="5" borderId="7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65" fontId="1" fillId="5" borderId="8" xfId="0" applyNumberFormat="1" applyFont="1" applyFill="1" applyBorder="1" applyAlignment="1">
      <alignment horizontal="center" vertical="center" wrapText="1"/>
    </xf>
    <xf numFmtId="165" fontId="1" fillId="5" borderId="7" xfId="0" applyNumberFormat="1" applyFont="1" applyFill="1" applyBorder="1" applyAlignment="1">
      <alignment horizontal="center" vertical="center" wrapText="1"/>
    </xf>
    <xf numFmtId="1" fontId="1" fillId="5" borderId="1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" fontId="1" fillId="5" borderId="29" xfId="0" applyNumberFormat="1" applyFont="1" applyFill="1" applyBorder="1" applyAlignment="1">
      <alignment horizontal="center" vertical="center" wrapText="1"/>
    </xf>
    <xf numFmtId="1" fontId="1" fillId="5" borderId="30" xfId="0" applyNumberFormat="1" applyFont="1" applyFill="1" applyBorder="1" applyAlignment="1">
      <alignment horizontal="center" vertical="center" wrapText="1"/>
    </xf>
    <xf numFmtId="165" fontId="1" fillId="0" borderId="30" xfId="0" applyNumberFormat="1" applyFont="1" applyBorder="1" applyAlignment="1">
      <alignment horizontal="center" vertical="center" wrapText="1"/>
    </xf>
    <xf numFmtId="165" fontId="1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1" fontId="1" fillId="5" borderId="35" xfId="0" applyNumberFormat="1" applyFont="1" applyFill="1" applyBorder="1" applyAlignment="1">
      <alignment horizontal="center" vertical="center" wrapText="1"/>
    </xf>
    <xf numFmtId="1" fontId="1" fillId="5" borderId="36" xfId="0" applyNumberFormat="1" applyFont="1" applyFill="1" applyBorder="1" applyAlignment="1">
      <alignment horizontal="center" vertical="center" wrapText="1"/>
    </xf>
    <xf numFmtId="167" fontId="28" fillId="14" borderId="1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7" fontId="0" fillId="5" borderId="5" xfId="0" applyNumberFormat="1" applyFill="1" applyBorder="1" applyAlignment="1">
      <alignment horizontal="center" vertical="center" wrapText="1"/>
    </xf>
    <xf numFmtId="165" fontId="7" fillId="7" borderId="5" xfId="0" applyNumberFormat="1" applyFont="1" applyFill="1" applyBorder="1" applyAlignment="1">
      <alignment horizontal="center" vertical="center" wrapText="1"/>
    </xf>
    <xf numFmtId="165" fontId="0" fillId="7" borderId="37" xfId="0" applyNumberFormat="1" applyFill="1" applyBorder="1" applyAlignment="1">
      <alignment horizontal="center" vertical="center" wrapText="1"/>
    </xf>
    <xf numFmtId="167" fontId="1" fillId="4" borderId="37" xfId="0" applyNumberFormat="1" applyFont="1" applyFill="1" applyBorder="1" applyAlignment="1">
      <alignment horizontal="center" vertical="center" wrapText="1"/>
    </xf>
    <xf numFmtId="167" fontId="0" fillId="5" borderId="37" xfId="0" applyNumberFormat="1" applyFill="1" applyBorder="1" applyAlignment="1">
      <alignment horizontal="center" vertical="center" wrapText="1"/>
    </xf>
    <xf numFmtId="167" fontId="1" fillId="3" borderId="37" xfId="0" applyNumberFormat="1" applyFont="1" applyFill="1" applyBorder="1" applyAlignment="1">
      <alignment horizontal="center" vertical="center" wrapText="1"/>
    </xf>
    <xf numFmtId="165" fontId="7" fillId="7" borderId="37" xfId="0" applyNumberFormat="1" applyFont="1" applyFill="1" applyBorder="1" applyAlignment="1">
      <alignment horizontal="center" vertical="center" wrapText="1"/>
    </xf>
    <xf numFmtId="165" fontId="0" fillId="4" borderId="37" xfId="0" applyNumberFormat="1" applyFill="1" applyBorder="1" applyAlignment="1">
      <alignment horizontal="center" vertical="center" wrapText="1"/>
    </xf>
    <xf numFmtId="167" fontId="1" fillId="5" borderId="37" xfId="0" applyNumberFormat="1" applyFont="1" applyFill="1" applyBorder="1" applyAlignment="1">
      <alignment horizontal="center" vertical="center" wrapText="1"/>
    </xf>
    <xf numFmtId="165" fontId="15" fillId="7" borderId="37" xfId="0" applyNumberFormat="1" applyFont="1" applyFill="1" applyBorder="1" applyAlignment="1">
      <alignment horizontal="center" vertical="center" wrapText="1"/>
    </xf>
    <xf numFmtId="167" fontId="17" fillId="6" borderId="37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167" fontId="1" fillId="0" borderId="37" xfId="0" applyNumberFormat="1" applyFont="1" applyBorder="1" applyAlignment="1">
      <alignment horizontal="center" vertical="center" wrapText="1"/>
    </xf>
    <xf numFmtId="167" fontId="19" fillId="0" borderId="37" xfId="0" applyNumberFormat="1" applyFont="1" applyBorder="1" applyAlignment="1">
      <alignment horizontal="center" vertical="center" wrapText="1"/>
    </xf>
    <xf numFmtId="167" fontId="1" fillId="3" borderId="38" xfId="0" applyNumberFormat="1" applyFont="1" applyFill="1" applyBorder="1" applyAlignment="1">
      <alignment horizontal="center" vertical="center" wrapText="1"/>
    </xf>
    <xf numFmtId="165" fontId="7" fillId="7" borderId="38" xfId="0" applyNumberFormat="1" applyFont="1" applyFill="1" applyBorder="1" applyAlignment="1">
      <alignment horizontal="center" vertical="center" wrapText="1"/>
    </xf>
    <xf numFmtId="167" fontId="1" fillId="4" borderId="38" xfId="0" applyNumberFormat="1" applyFont="1" applyFill="1" applyBorder="1" applyAlignment="1">
      <alignment horizontal="center" vertical="center" wrapText="1"/>
    </xf>
    <xf numFmtId="167" fontId="1" fillId="0" borderId="38" xfId="0" applyNumberFormat="1" applyFont="1" applyBorder="1" applyAlignment="1">
      <alignment horizontal="center" vertical="center" wrapText="1"/>
    </xf>
    <xf numFmtId="167" fontId="17" fillId="6" borderId="38" xfId="0" applyNumberFormat="1" applyFont="1" applyFill="1" applyBorder="1" applyAlignment="1">
      <alignment horizontal="center" vertical="center" wrapText="1"/>
    </xf>
    <xf numFmtId="165" fontId="0" fillId="7" borderId="38" xfId="0" applyNumberFormat="1" applyFill="1" applyBorder="1" applyAlignment="1">
      <alignment horizontal="center" vertical="center" wrapText="1"/>
    </xf>
    <xf numFmtId="167" fontId="0" fillId="4" borderId="38" xfId="0" applyNumberFormat="1" applyFill="1" applyBorder="1" applyAlignment="1">
      <alignment horizontal="center" vertical="center" wrapText="1"/>
    </xf>
    <xf numFmtId="167" fontId="0" fillId="0" borderId="38" xfId="0" applyNumberFormat="1" applyBorder="1" applyAlignment="1">
      <alignment horizontal="center" vertical="center" wrapText="1"/>
    </xf>
    <xf numFmtId="167" fontId="0" fillId="5" borderId="38" xfId="0" applyNumberForma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3" borderId="39" xfId="0" applyNumberFormat="1" applyFill="1" applyBorder="1" applyAlignment="1">
      <alignment horizontal="center" vertical="center" wrapText="1"/>
    </xf>
    <xf numFmtId="165" fontId="0" fillId="4" borderId="39" xfId="0" applyNumberFormat="1" applyFill="1" applyBorder="1" applyAlignment="1">
      <alignment horizontal="center" vertical="center" wrapText="1"/>
    </xf>
    <xf numFmtId="165" fontId="0" fillId="5" borderId="39" xfId="0" applyNumberFormat="1" applyFill="1" applyBorder="1" applyAlignment="1">
      <alignment horizontal="center" vertical="center" wrapText="1"/>
    </xf>
    <xf numFmtId="165" fontId="0" fillId="7" borderId="39" xfId="0" applyNumberFormat="1" applyFill="1" applyBorder="1" applyAlignment="1">
      <alignment horizontal="center" vertical="center" wrapText="1"/>
    </xf>
    <xf numFmtId="167" fontId="2" fillId="0" borderId="39" xfId="0" applyNumberFormat="1" applyFont="1" applyBorder="1" applyAlignment="1">
      <alignment horizontal="center" vertical="center" wrapText="1"/>
    </xf>
    <xf numFmtId="167" fontId="1" fillId="7" borderId="39" xfId="0" applyNumberFormat="1" applyFont="1" applyFill="1" applyBorder="1" applyAlignment="1">
      <alignment horizontal="center" vertical="center" wrapText="1"/>
    </xf>
    <xf numFmtId="165" fontId="0" fillId="5" borderId="40" xfId="0" applyNumberFormat="1" applyFill="1" applyBorder="1" applyAlignment="1">
      <alignment horizontal="center" vertical="center" wrapText="1"/>
    </xf>
    <xf numFmtId="167" fontId="1" fillId="7" borderId="40" xfId="0" applyNumberFormat="1" applyFont="1" applyFill="1" applyBorder="1" applyAlignment="1">
      <alignment horizontal="center" vertical="center" wrapText="1"/>
    </xf>
    <xf numFmtId="167" fontId="1" fillId="4" borderId="40" xfId="0" applyNumberFormat="1" applyFont="1" applyFill="1" applyBorder="1" applyAlignment="1">
      <alignment horizontal="center" vertical="center" wrapText="1"/>
    </xf>
    <xf numFmtId="167" fontId="17" fillId="6" borderId="40" xfId="0" applyNumberFormat="1" applyFont="1" applyFill="1" applyBorder="1" applyAlignment="1">
      <alignment horizontal="center" vertical="center" wrapText="1"/>
    </xf>
    <xf numFmtId="165" fontId="0" fillId="0" borderId="42" xfId="0" applyNumberFormat="1" applyBorder="1" applyAlignment="1">
      <alignment horizontal="left" vertical="center" wrapText="1"/>
    </xf>
    <xf numFmtId="166" fontId="0" fillId="4" borderId="5" xfId="0" applyNumberFormat="1" applyFill="1" applyBorder="1" applyAlignment="1">
      <alignment horizontal="center" vertical="center" wrapText="1"/>
    </xf>
    <xf numFmtId="167" fontId="0" fillId="3" borderId="5" xfId="0" applyNumberFormat="1" applyFill="1" applyBorder="1" applyAlignment="1">
      <alignment horizontal="center" vertical="center" wrapText="1"/>
    </xf>
    <xf numFmtId="166" fontId="0" fillId="4" borderId="39" xfId="0" applyNumberFormat="1" applyFill="1" applyBorder="1" applyAlignment="1">
      <alignment horizontal="center" vertical="center" wrapText="1"/>
    </xf>
    <xf numFmtId="167" fontId="1" fillId="0" borderId="39" xfId="0" applyNumberFormat="1" applyFont="1" applyBorder="1" applyAlignment="1">
      <alignment horizontal="center" vertical="center" wrapText="1"/>
    </xf>
    <xf numFmtId="167" fontId="8" fillId="5" borderId="39" xfId="0" applyNumberFormat="1" applyFont="1" applyFill="1" applyBorder="1" applyAlignment="1">
      <alignment horizontal="center" vertical="center" wrapText="1"/>
    </xf>
    <xf numFmtId="167" fontId="0" fillId="3" borderId="39" xfId="0" applyNumberFormat="1" applyFill="1" applyBorder="1" applyAlignment="1">
      <alignment horizontal="center" vertical="center" wrapText="1"/>
    </xf>
    <xf numFmtId="167" fontId="0" fillId="9" borderId="39" xfId="0" applyNumberFormat="1" applyFill="1" applyBorder="1" applyAlignment="1">
      <alignment horizontal="center" vertical="center" wrapText="1"/>
    </xf>
    <xf numFmtId="167" fontId="17" fillId="6" borderId="43" xfId="0" applyNumberFormat="1" applyFont="1" applyFill="1" applyBorder="1" applyAlignment="1">
      <alignment horizontal="center" vertical="center" wrapText="1"/>
    </xf>
    <xf numFmtId="165" fontId="15" fillId="7" borderId="5" xfId="0" applyNumberFormat="1" applyFont="1" applyFill="1" applyBorder="1" applyAlignment="1">
      <alignment horizontal="center" vertical="center" wrapText="1"/>
    </xf>
    <xf numFmtId="165" fontId="15" fillId="7" borderId="9" xfId="0" applyNumberFormat="1" applyFont="1" applyFill="1" applyBorder="1" applyAlignment="1">
      <alignment horizontal="center" vertical="center" wrapText="1"/>
    </xf>
    <xf numFmtId="165" fontId="15" fillId="7" borderId="39" xfId="0" applyNumberFormat="1" applyFont="1" applyFill="1" applyBorder="1" applyAlignment="1">
      <alignment horizontal="center" vertical="center" wrapText="1"/>
    </xf>
    <xf numFmtId="167" fontId="1" fillId="3" borderId="39" xfId="0" applyNumberFormat="1" applyFont="1" applyFill="1" applyBorder="1" applyAlignment="1">
      <alignment horizontal="center" vertical="center" wrapText="1"/>
    </xf>
    <xf numFmtId="165" fontId="15" fillId="7" borderId="41" xfId="0" applyNumberFormat="1" applyFont="1" applyFill="1" applyBorder="1" applyAlignment="1">
      <alignment horizontal="center" vertical="center" wrapText="1"/>
    </xf>
    <xf numFmtId="167" fontId="1" fillId="4" borderId="39" xfId="0" applyNumberFormat="1" applyFont="1" applyFill="1" applyBorder="1" applyAlignment="1">
      <alignment horizontal="center" vertical="center" wrapText="1"/>
    </xf>
    <xf numFmtId="167" fontId="1" fillId="5" borderId="39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7" borderId="39" xfId="0" applyNumberFormat="1" applyFont="1" applyFill="1" applyBorder="1" applyAlignment="1">
      <alignment horizontal="center" vertical="center" wrapText="1"/>
    </xf>
    <xf numFmtId="165" fontId="7" fillId="7" borderId="41" xfId="0" applyNumberFormat="1" applyFont="1" applyFill="1" applyBorder="1" applyAlignment="1">
      <alignment horizontal="center" vertical="center" wrapText="1"/>
    </xf>
    <xf numFmtId="167" fontId="1" fillId="7" borderId="41" xfId="0" applyNumberFormat="1" applyFont="1" applyFill="1" applyBorder="1" applyAlignment="1">
      <alignment horizontal="center" vertical="center" wrapText="1"/>
    </xf>
    <xf numFmtId="167" fontId="2" fillId="4" borderId="5" xfId="0" applyNumberFormat="1" applyFont="1" applyFill="1" applyBorder="1" applyAlignment="1">
      <alignment horizontal="center" vertical="center" wrapText="1"/>
    </xf>
    <xf numFmtId="165" fontId="0" fillId="3" borderId="37" xfId="0" applyNumberFormat="1" applyFill="1" applyBorder="1" applyAlignment="1">
      <alignment horizontal="center" vertical="center" wrapText="1"/>
    </xf>
    <xf numFmtId="167" fontId="2" fillId="4" borderId="37" xfId="0" applyNumberFormat="1" applyFont="1" applyFill="1" applyBorder="1" applyAlignment="1">
      <alignment horizontal="center" vertical="center" wrapText="1"/>
    </xf>
    <xf numFmtId="167" fontId="2" fillId="0" borderId="37" xfId="0" applyNumberFormat="1" applyFont="1" applyBorder="1" applyAlignment="1">
      <alignment horizontal="center" vertical="center" wrapText="1"/>
    </xf>
    <xf numFmtId="167" fontId="0" fillId="7" borderId="37" xfId="0" applyNumberFormat="1" applyFill="1" applyBorder="1" applyAlignment="1">
      <alignment horizontal="center" vertical="center" wrapText="1"/>
    </xf>
    <xf numFmtId="167" fontId="8" fillId="4" borderId="37" xfId="0" applyNumberFormat="1" applyFont="1" applyFill="1" applyBorder="1" applyAlignment="1">
      <alignment horizontal="center" vertical="center" wrapText="1"/>
    </xf>
    <xf numFmtId="167" fontId="8" fillId="0" borderId="37" xfId="0" applyNumberFormat="1" applyFont="1" applyBorder="1" applyAlignment="1">
      <alignment horizontal="center" vertical="center" wrapText="1"/>
    </xf>
    <xf numFmtId="170" fontId="2" fillId="4" borderId="5" xfId="0" applyNumberFormat="1" applyFont="1" applyFill="1" applyBorder="1" applyAlignment="1">
      <alignment horizontal="center" vertical="center" wrapText="1"/>
    </xf>
    <xf numFmtId="170" fontId="2" fillId="4" borderId="37" xfId="0" applyNumberFormat="1" applyFont="1" applyFill="1" applyBorder="1" applyAlignment="1">
      <alignment horizontal="center" vertical="center" wrapText="1"/>
    </xf>
    <xf numFmtId="166" fontId="1" fillId="4" borderId="5" xfId="0" applyNumberFormat="1" applyFont="1" applyFill="1" applyBorder="1" applyAlignment="1">
      <alignment horizontal="center" vertical="center" wrapText="1"/>
    </xf>
    <xf numFmtId="166" fontId="1" fillId="4" borderId="37" xfId="0" applyNumberFormat="1" applyFont="1" applyFill="1" applyBorder="1" applyAlignment="1">
      <alignment horizontal="center" vertical="center" wrapText="1"/>
    </xf>
    <xf numFmtId="166" fontId="1" fillId="0" borderId="37" xfId="0" applyNumberFormat="1" applyFont="1" applyBorder="1" applyAlignment="1">
      <alignment horizontal="center" vertical="center" wrapText="1"/>
    </xf>
    <xf numFmtId="167" fontId="1" fillId="7" borderId="45" xfId="0" applyNumberFormat="1" applyFont="1" applyFill="1" applyBorder="1" applyAlignment="1">
      <alignment horizontal="center" vertical="center" wrapText="1"/>
    </xf>
    <xf numFmtId="167" fontId="17" fillId="6" borderId="44" xfId="0" applyNumberFormat="1" applyFont="1" applyFill="1" applyBorder="1" applyAlignment="1">
      <alignment horizontal="center" vertical="center" wrapText="1"/>
    </xf>
    <xf numFmtId="167" fontId="9" fillId="0" borderId="37" xfId="0" applyNumberFormat="1" applyFont="1" applyBorder="1" applyAlignment="1">
      <alignment horizontal="center" vertical="center" wrapText="1"/>
    </xf>
    <xf numFmtId="167" fontId="1" fillId="7" borderId="37" xfId="0" applyNumberFormat="1" applyFont="1" applyFill="1" applyBorder="1" applyAlignment="1">
      <alignment horizontal="center" vertical="center" wrapText="1"/>
    </xf>
    <xf numFmtId="167" fontId="1" fillId="4" borderId="5" xfId="0" applyNumberFormat="1" applyFont="1" applyFill="1" applyBorder="1" applyAlignment="1">
      <alignment vertical="center" wrapText="1"/>
    </xf>
    <xf numFmtId="167" fontId="9" fillId="4" borderId="37" xfId="0" applyNumberFormat="1" applyFont="1" applyFill="1" applyBorder="1" applyAlignment="1">
      <alignment horizontal="center" vertical="center" wrapText="1"/>
    </xf>
    <xf numFmtId="167" fontId="1" fillId="4" borderId="37" xfId="0" applyNumberFormat="1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left" vertical="center"/>
    </xf>
    <xf numFmtId="167" fontId="0" fillId="3" borderId="37" xfId="0" applyNumberFormat="1" applyFill="1" applyBorder="1" applyAlignment="1">
      <alignment horizontal="center" vertical="center" wrapText="1"/>
    </xf>
    <xf numFmtId="167" fontId="0" fillId="9" borderId="37" xfId="0" applyNumberFormat="1" applyFill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left" vertical="center" wrapText="1"/>
    </xf>
    <xf numFmtId="167" fontId="17" fillId="6" borderId="46" xfId="0" applyNumberFormat="1" applyFont="1" applyFill="1" applyBorder="1" applyAlignment="1">
      <alignment horizontal="center" vertical="center" wrapText="1"/>
    </xf>
    <xf numFmtId="167" fontId="19" fillId="7" borderId="37" xfId="0" applyNumberFormat="1" applyFont="1" applyFill="1" applyBorder="1" applyAlignment="1">
      <alignment horizontal="center" vertical="center" wrapText="1"/>
    </xf>
    <xf numFmtId="167" fontId="2" fillId="7" borderId="5" xfId="0" applyNumberFormat="1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167" fontId="17" fillId="2" borderId="39" xfId="0" applyNumberFormat="1" applyFont="1" applyFill="1" applyBorder="1" applyAlignment="1">
      <alignment horizontal="center" vertical="center" wrapText="1"/>
    </xf>
    <xf numFmtId="167" fontId="0" fillId="11" borderId="5" xfId="0" applyNumberFormat="1" applyFill="1" applyBorder="1" applyAlignment="1">
      <alignment horizontal="center" vertical="center" wrapText="1"/>
    </xf>
    <xf numFmtId="167" fontId="1" fillId="11" borderId="39" xfId="0" applyNumberFormat="1" applyFont="1" applyFill="1" applyBorder="1" applyAlignment="1">
      <alignment horizontal="center" vertical="center" wrapText="1"/>
    </xf>
    <xf numFmtId="167" fontId="0" fillId="0" borderId="37" xfId="0" applyNumberForma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164" fontId="2" fillId="0" borderId="4" xfId="2" applyFont="1" applyBorder="1" applyAlignment="1">
      <alignment horizontal="left" vertical="center" wrapText="1"/>
    </xf>
    <xf numFmtId="167" fontId="0" fillId="0" borderId="4" xfId="0" applyNumberFormat="1" applyBorder="1" applyAlignment="1">
      <alignment horizontal="center" vertical="center" wrapText="1"/>
    </xf>
    <xf numFmtId="3" fontId="0" fillId="4" borderId="9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164" fontId="23" fillId="13" borderId="1" xfId="2" applyFont="1" applyFill="1" applyBorder="1" applyAlignment="1">
      <alignment horizontal="right" vertical="center" wrapText="1"/>
    </xf>
    <xf numFmtId="164" fontId="23" fillId="13" borderId="8" xfId="2" applyFont="1" applyFill="1" applyBorder="1" applyAlignment="1">
      <alignment horizontal="right" vertical="center" wrapText="1"/>
    </xf>
    <xf numFmtId="1" fontId="1" fillId="10" borderId="0" xfId="0" applyNumberFormat="1" applyFont="1" applyFill="1" applyAlignment="1">
      <alignment horizontal="center" vertical="center" wrapText="1"/>
    </xf>
    <xf numFmtId="165" fontId="1" fillId="12" borderId="0" xfId="0" applyNumberFormat="1" applyFont="1" applyFill="1" applyAlignment="1">
      <alignment vertical="center" wrapText="1"/>
    </xf>
    <xf numFmtId="164" fontId="0" fillId="0" borderId="0" xfId="2" applyFont="1" applyFill="1" applyBorder="1" applyAlignment="1">
      <alignment vertical="center"/>
    </xf>
    <xf numFmtId="165" fontId="1" fillId="15" borderId="0" xfId="0" applyNumberFormat="1" applyFont="1" applyFill="1" applyAlignment="1">
      <alignment vertical="center" wrapText="1"/>
    </xf>
    <xf numFmtId="164" fontId="0" fillId="15" borderId="0" xfId="2" applyFont="1" applyFill="1" applyBorder="1" applyAlignment="1">
      <alignment vertical="center"/>
    </xf>
    <xf numFmtId="164" fontId="1" fillId="15" borderId="4" xfId="2" applyFont="1" applyFill="1" applyBorder="1" applyAlignment="1">
      <alignment vertical="center"/>
    </xf>
    <xf numFmtId="165" fontId="1" fillId="15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164" fontId="1" fillId="15" borderId="1" xfId="2" applyFont="1" applyFill="1" applyBorder="1" applyAlignment="1">
      <alignment vertical="center"/>
    </xf>
    <xf numFmtId="168" fontId="1" fillId="10" borderId="1" xfId="1" applyNumberFormat="1" applyFont="1" applyFill="1" applyBorder="1" applyAlignment="1">
      <alignment vertical="center"/>
    </xf>
    <xf numFmtId="164" fontId="28" fillId="16" borderId="1" xfId="0" applyNumberFormat="1" applyFont="1" applyFill="1" applyBorder="1" applyAlignment="1">
      <alignment vertical="center"/>
    </xf>
    <xf numFmtId="164" fontId="27" fillId="17" borderId="1" xfId="0" applyNumberFormat="1" applyFont="1" applyFill="1" applyBorder="1" applyAlignment="1">
      <alignment vertical="center"/>
    </xf>
    <xf numFmtId="164" fontId="19" fillId="10" borderId="1" xfId="2" applyFont="1" applyFill="1" applyBorder="1" applyAlignment="1">
      <alignment vertical="center"/>
    </xf>
    <xf numFmtId="164" fontId="2" fillId="10" borderId="1" xfId="2" applyFont="1" applyFill="1" applyBorder="1" applyAlignment="1">
      <alignment vertical="center"/>
    </xf>
    <xf numFmtId="0" fontId="30" fillId="18" borderId="25" xfId="0" applyFont="1" applyFill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center" vertical="center" wrapText="1"/>
    </xf>
    <xf numFmtId="0" fontId="30" fillId="18" borderId="0" xfId="0" applyFont="1" applyFill="1" applyAlignment="1">
      <alignment horizontal="center" vertical="center" wrapText="1"/>
    </xf>
    <xf numFmtId="0" fontId="30" fillId="18" borderId="28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vertical="center" wrapText="1"/>
    </xf>
    <xf numFmtId="0" fontId="31" fillId="18" borderId="47" xfId="0" applyFont="1" applyFill="1" applyBorder="1" applyAlignment="1">
      <alignment vertical="center" wrapText="1"/>
    </xf>
    <xf numFmtId="0" fontId="32" fillId="19" borderId="1" xfId="0" applyFont="1" applyFill="1" applyBorder="1" applyAlignment="1">
      <alignment horizontal="left" vertical="center" wrapText="1"/>
    </xf>
    <xf numFmtId="0" fontId="32" fillId="19" borderId="1" xfId="0" applyFont="1" applyFill="1" applyBorder="1" applyAlignment="1">
      <alignment horizontal="center" vertical="center" wrapText="1"/>
    </xf>
    <xf numFmtId="3" fontId="32" fillId="19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32" fillId="11" borderId="1" xfId="0" applyFont="1" applyFill="1" applyBorder="1" applyAlignment="1">
      <alignment horizontal="center" vertical="center" wrapText="1"/>
    </xf>
    <xf numFmtId="3" fontId="31" fillId="11" borderId="1" xfId="0" applyNumberFormat="1" applyFont="1" applyFill="1" applyBorder="1" applyAlignment="1">
      <alignment horizontal="center" vertical="center" wrapText="1"/>
    </xf>
    <xf numFmtId="37" fontId="33" fillId="19" borderId="28" xfId="0" applyNumberFormat="1" applyFont="1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right" vertical="center" wrapText="1"/>
    </xf>
    <xf numFmtId="0" fontId="35" fillId="19" borderId="1" xfId="0" applyFont="1" applyFill="1" applyBorder="1" applyAlignment="1">
      <alignment horizontal="center" vertical="center" wrapText="1"/>
    </xf>
    <xf numFmtId="3" fontId="34" fillId="19" borderId="1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35" fillId="0" borderId="50" xfId="0" applyFont="1" applyBorder="1" applyAlignment="1">
      <alignment horizontal="right" vertical="center" wrapText="1"/>
    </xf>
    <xf numFmtId="0" fontId="37" fillId="0" borderId="53" xfId="0" applyFont="1" applyBorder="1" applyAlignment="1">
      <alignment horizontal="right" vertical="center" wrapText="1"/>
    </xf>
    <xf numFmtId="3" fontId="32" fillId="9" borderId="1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0" fillId="20" borderId="0" xfId="0" applyFill="1" applyAlignment="1">
      <alignment horizontal="left" vertical="center" wrapText="1"/>
    </xf>
    <xf numFmtId="170" fontId="7" fillId="3" borderId="1" xfId="0" applyNumberFormat="1" applyFont="1" applyFill="1" applyBorder="1" applyAlignment="1">
      <alignment horizontal="left" vertical="center"/>
    </xf>
    <xf numFmtId="170" fontId="0" fillId="7" borderId="1" xfId="0" applyNumberFormat="1" applyFill="1" applyBorder="1" applyAlignment="1">
      <alignment horizontal="center" vertical="center" wrapText="1"/>
    </xf>
    <xf numFmtId="170" fontId="1" fillId="4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3" borderId="5" xfId="0" applyNumberFormat="1" applyFont="1" applyFill="1" applyBorder="1" applyAlignment="1">
      <alignment horizontal="center" vertical="center" wrapText="1"/>
    </xf>
    <xf numFmtId="170" fontId="7" fillId="7" borderId="1" xfId="0" applyNumberFormat="1" applyFont="1" applyFill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170" fontId="28" fillId="14" borderId="1" xfId="0" applyNumberFormat="1" applyFont="1" applyFill="1" applyBorder="1" applyAlignment="1">
      <alignment horizontal="center" vertical="center" wrapText="1"/>
    </xf>
    <xf numFmtId="170" fontId="1" fillId="4" borderId="5" xfId="0" applyNumberFormat="1" applyFont="1" applyFill="1" applyBorder="1" applyAlignment="1">
      <alignment horizontal="center" vertical="center" wrapText="1"/>
    </xf>
    <xf numFmtId="0" fontId="0" fillId="10" borderId="1" xfId="0" applyFill="1" applyBorder="1"/>
    <xf numFmtId="169" fontId="0" fillId="8" borderId="1" xfId="0" applyNumberFormat="1" applyFill="1" applyBorder="1"/>
    <xf numFmtId="169" fontId="1" fillId="10" borderId="1" xfId="0" applyNumberFormat="1" applyFont="1" applyFill="1" applyBorder="1"/>
    <xf numFmtId="168" fontId="1" fillId="12" borderId="1" xfId="1" applyNumberFormat="1" applyFont="1" applyFill="1" applyBorder="1" applyAlignment="1">
      <alignment vertic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" fillId="12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165" fontId="5" fillId="2" borderId="11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5" fontId="1" fillId="5" borderId="8" xfId="0" applyNumberFormat="1" applyFont="1" applyFill="1" applyBorder="1" applyAlignment="1">
      <alignment horizontal="center" vertical="center" wrapText="1"/>
    </xf>
    <xf numFmtId="165" fontId="1" fillId="5" borderId="7" xfId="0" applyNumberFormat="1" applyFont="1" applyFill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28" xfId="0" applyNumberFormat="1" applyFont="1" applyBorder="1" applyAlignment="1">
      <alignment horizontal="center" vertical="center" wrapText="1"/>
    </xf>
    <xf numFmtId="1" fontId="1" fillId="5" borderId="8" xfId="0" applyNumberFormat="1" applyFont="1" applyFill="1" applyBorder="1" applyAlignment="1">
      <alignment horizontal="center" vertical="center" wrapText="1"/>
    </xf>
    <xf numFmtId="1" fontId="1" fillId="5" borderId="7" xfId="0" applyNumberFormat="1" applyFont="1" applyFill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165" fontId="1" fillId="0" borderId="34" xfId="0" applyNumberFormat="1" applyFont="1" applyBorder="1" applyAlignment="1">
      <alignment horizontal="center" vertical="center" wrapText="1"/>
    </xf>
    <xf numFmtId="165" fontId="1" fillId="8" borderId="24" xfId="0" applyNumberFormat="1" applyFont="1" applyFill="1" applyBorder="1" applyAlignment="1">
      <alignment horizontal="center" vertical="center" wrapText="1"/>
    </xf>
    <xf numFmtId="165" fontId="1" fillId="8" borderId="25" xfId="0" applyNumberFormat="1" applyFont="1" applyFill="1" applyBorder="1" applyAlignment="1">
      <alignment horizontal="center" vertical="center" wrapText="1"/>
    </xf>
    <xf numFmtId="165" fontId="1" fillId="8" borderId="26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 textRotation="90" wrapText="1"/>
    </xf>
    <xf numFmtId="0" fontId="14" fillId="7" borderId="2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49" fontId="0" fillId="0" borderId="13" xfId="0" applyNumberFormat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textRotation="90" wrapText="1"/>
    </xf>
    <xf numFmtId="0" fontId="14" fillId="7" borderId="8" xfId="0" applyFont="1" applyFill="1" applyBorder="1" applyAlignment="1">
      <alignment horizontal="left" vertical="center" wrapText="1"/>
    </xf>
    <xf numFmtId="0" fontId="32" fillId="19" borderId="1" xfId="0" applyFont="1" applyFill="1" applyBorder="1" applyAlignment="1">
      <alignment horizontal="left" vertical="center" wrapText="1"/>
    </xf>
    <xf numFmtId="37" fontId="33" fillId="19" borderId="48" xfId="0" applyNumberFormat="1" applyFont="1" applyFill="1" applyBorder="1" applyAlignment="1">
      <alignment horizontal="center" vertical="center" wrapText="1"/>
    </xf>
    <xf numFmtId="37" fontId="33" fillId="19" borderId="4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18" borderId="24" xfId="0" applyFont="1" applyFill="1" applyBorder="1" applyAlignment="1">
      <alignment horizontal="justify" vertical="center" wrapText="1"/>
    </xf>
    <xf numFmtId="0" fontId="30" fillId="18" borderId="33" xfId="0" applyFont="1" applyFill="1" applyBorder="1" applyAlignment="1">
      <alignment horizontal="justify" vertical="center" wrapText="1"/>
    </xf>
    <xf numFmtId="0" fontId="30" fillId="18" borderId="25" xfId="0" applyFont="1" applyFill="1" applyBorder="1" applyAlignment="1">
      <alignment horizontal="center" vertical="center" wrapText="1"/>
    </xf>
    <xf numFmtId="0" fontId="30" fillId="18" borderId="0" xfId="0" applyFont="1" applyFill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3" fontId="35" fillId="0" borderId="51" xfId="0" applyNumberFormat="1" applyFont="1" applyBorder="1" applyAlignment="1">
      <alignment horizontal="center" vertical="center" wrapText="1"/>
    </xf>
    <xf numFmtId="3" fontId="35" fillId="0" borderId="54" xfId="0" applyNumberFormat="1" applyFont="1" applyBorder="1" applyAlignment="1">
      <alignment horizontal="center" vertical="center" wrapText="1"/>
    </xf>
    <xf numFmtId="3" fontId="36" fillId="0" borderId="52" xfId="0" applyNumberFormat="1" applyFont="1" applyBorder="1" applyAlignment="1">
      <alignment horizontal="center" vertical="center" wrapText="1"/>
    </xf>
    <xf numFmtId="3" fontId="36" fillId="0" borderId="55" xfId="0" applyNumberFormat="1" applyFont="1" applyBorder="1" applyAlignment="1">
      <alignment horizontal="center" vertical="center" wrapText="1"/>
    </xf>
    <xf numFmtId="0" fontId="32" fillId="19" borderId="3" xfId="0" applyFont="1" applyFill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</cellXfs>
  <cellStyles count="5">
    <cellStyle name="Comma [0]" xfId="2" builtinId="6"/>
    <cellStyle name="Normal" xfId="0" builtinId="0"/>
    <cellStyle name="Normal 2" xfId="3" xr:uid="{66DAD551-5122-0C4A-BB28-093F4ACF8EF6}"/>
    <cellStyle name="Normal 5" xfId="4" xr:uid="{FFDAB143-F343-3448-81E2-8A046FCF560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Kostot sipas burimit te financimit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51-8D4F-829E-3AF63756A5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551-8D4F-829E-3AF63756A5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551-8D4F-829E-3AF63756A5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51-8D4F-829E-3AF63756A5A9}"/>
              </c:ext>
            </c:extLst>
          </c:dPt>
          <c:dLbls>
            <c:dLbl>
              <c:idx val="0"/>
              <c:layout>
                <c:manualLayout>
                  <c:x val="-0.2194407261592301"/>
                  <c:y val="4.58155230596175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1-8D4F-829E-3AF63756A5A9}"/>
                </c:ext>
              </c:extLst>
            </c:dLbl>
            <c:dLbl>
              <c:idx val="1"/>
              <c:layout>
                <c:manualLayout>
                  <c:x val="0.11595188101487314"/>
                  <c:y val="-0.18912287749745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51-8D4F-829E-3AF63756A5A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51-8D4F-829E-3AF63756A5A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551-8D4F-829E-3AF63756A5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Grafike!$B$4:$B$7</c:f>
              <c:strCache>
                <c:ptCount val="4"/>
                <c:pt idx="0">
                  <c:v>PBA 2026- 2028</c:v>
                </c:pt>
                <c:pt idx="1">
                  <c:v>PBA 2029- 2031</c:v>
                </c:pt>
                <c:pt idx="2">
                  <c:v>Financim i huaj</c:v>
                </c:pt>
                <c:pt idx="3">
                  <c:v>Hendek financiar</c:v>
                </c:pt>
              </c:strCache>
            </c:strRef>
          </c:cat>
          <c:val>
            <c:numRef>
              <c:f>Grafike!$C$4:$C$7</c:f>
              <c:numCache>
                <c:formatCode>0.0%</c:formatCode>
                <c:ptCount val="4"/>
                <c:pt idx="0">
                  <c:v>0.33684539636952016</c:v>
                </c:pt>
                <c:pt idx="1">
                  <c:v>0.43288673907093178</c:v>
                </c:pt>
                <c:pt idx="2">
                  <c:v>4.3618451373534789E-2</c:v>
                </c:pt>
                <c:pt idx="3">
                  <c:v>0.18664941318601341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1-8D4F-829E-3AF63756A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Kostot sipas natyres ekonomike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0-0041-B9B3-C32AE77133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B0-0041-B9B3-C32AE77133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Grafike!$G$4:$G$5</c:f>
              <c:strCache>
                <c:ptCount val="2"/>
                <c:pt idx="0">
                  <c:v>Kosto korrente</c:v>
                </c:pt>
                <c:pt idx="1">
                  <c:v>Kosto kapitale</c:v>
                </c:pt>
              </c:strCache>
            </c:strRef>
          </c:cat>
          <c:val>
            <c:numRef>
              <c:f>Grafike!$H$4:$H$5</c:f>
              <c:numCache>
                <c:formatCode>0%</c:formatCode>
                <c:ptCount val="2"/>
                <c:pt idx="0">
                  <c:v>0.9302993631396449</c:v>
                </c:pt>
                <c:pt idx="1">
                  <c:v>6.9700636860355158E-2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8-A945-BC24-C52C35A23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Kostot sipas shtyllave te Garancise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Grafike!$M$3</c:f>
              <c:strCache>
                <c:ptCount val="1"/>
                <c:pt idx="0">
                  <c:v>Korrente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Grafike!$L$4:$L$9</c:f>
              <c:strCache>
                <c:ptCount val="6"/>
                <c:pt idx="0">
                  <c:v>I. Mbrojtja dhe mireqenia</c:v>
                </c:pt>
                <c:pt idx="1">
                  <c:v>II. Femijeria e hershme</c:v>
                </c:pt>
                <c:pt idx="2">
                  <c:v>III. Arsimi</c:v>
                </c:pt>
                <c:pt idx="3">
                  <c:v>IV. Shendeti</c:v>
                </c:pt>
                <c:pt idx="4">
                  <c:v>V. Mireushqyerja</c:v>
                </c:pt>
                <c:pt idx="5">
                  <c:v>VI. Strehimi</c:v>
                </c:pt>
              </c:strCache>
            </c:strRef>
          </c:cat>
          <c:val>
            <c:numRef>
              <c:f>Grafike!$M$4:$M$9</c:f>
              <c:numCache>
                <c:formatCode>_ * #,##0_)\ _A_L_L_ ;_ * \(#,##0\)\ _A_L_L_ ;_ * "-"_)\ _A_L_L_ ;_ @_ </c:formatCode>
                <c:ptCount val="6"/>
                <c:pt idx="0">
                  <c:v>17756837143.2103</c:v>
                </c:pt>
                <c:pt idx="1">
                  <c:v>1293976160</c:v>
                </c:pt>
                <c:pt idx="2">
                  <c:v>13051863000</c:v>
                </c:pt>
                <c:pt idx="3">
                  <c:v>8353782775</c:v>
                </c:pt>
                <c:pt idx="4">
                  <c:v>5953650000</c:v>
                </c:pt>
                <c:pt idx="5">
                  <c:v>443900000.00000006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3-0A4E-B8A5-F03A8D3BABBC}"/>
            </c:ext>
          </c:extLst>
        </c:ser>
        <c:ser>
          <c:idx val="1"/>
          <c:order val="1"/>
          <c:tx>
            <c:strRef>
              <c:f>Grafike!$N$3</c:f>
              <c:strCache>
                <c:ptCount val="1"/>
                <c:pt idx="0">
                  <c:v>Kapitale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Grafike!$L$4:$L$9</c:f>
              <c:strCache>
                <c:ptCount val="6"/>
                <c:pt idx="0">
                  <c:v>I. Mbrojtja dhe mireqenia</c:v>
                </c:pt>
                <c:pt idx="1">
                  <c:v>II. Femijeria e hershme</c:v>
                </c:pt>
                <c:pt idx="2">
                  <c:v>III. Arsimi</c:v>
                </c:pt>
                <c:pt idx="3">
                  <c:v>IV. Shendeti</c:v>
                </c:pt>
                <c:pt idx="4">
                  <c:v>V. Mireushqyerja</c:v>
                </c:pt>
                <c:pt idx="5">
                  <c:v>VI. Strehimi</c:v>
                </c:pt>
              </c:strCache>
            </c:strRef>
          </c:cat>
          <c:val>
            <c:numRef>
              <c:f>Grafike!$N$4:$N$9</c:f>
              <c:numCache>
                <c:formatCode>_ * #,##0_)\ _A_L_L_ ;_ * \(#,##0\)\ _A_L_L_ ;_ * "-"_)\ _A_L_L_ ;_ @_ </c:formatCode>
                <c:ptCount val="6"/>
                <c:pt idx="0">
                  <c:v>7800000</c:v>
                </c:pt>
                <c:pt idx="1">
                  <c:v>1136397520</c:v>
                </c:pt>
                <c:pt idx="2">
                  <c:v>115200000</c:v>
                </c:pt>
                <c:pt idx="3">
                  <c:v>545375000</c:v>
                </c:pt>
                <c:pt idx="4">
                  <c:v>1065200000</c:v>
                </c:pt>
                <c:pt idx="5">
                  <c:v>640461219.51219511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3-0A4E-B8A5-F03A8D3BA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8463248"/>
        <c:axId val="948431152"/>
      </c:barChart>
      <c:catAx>
        <c:axId val="9484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431152"/>
        <c:crosses val="autoZero"/>
        <c:auto val="1"/>
        <c:lblAlgn val="ctr"/>
        <c:lblOffset val="100"/>
        <c:noMultiLvlLbl val="0"/>
      </c:catAx>
      <c:valAx>
        <c:axId val="94843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46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13</xdr:row>
      <xdr:rowOff>25400</xdr:rowOff>
    </xdr:from>
    <xdr:to>
      <xdr:col>5</xdr:col>
      <xdr:colOff>12700</xdr:colOff>
      <xdr:row>33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7861D6-13F7-A3A8-323E-7074BEE1F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355600</xdr:colOff>
      <xdr:row>13</xdr:row>
      <xdr:rowOff>0</xdr:rowOff>
    </xdr:from>
    <xdr:to>
      <xdr:col>10</xdr:col>
      <xdr:colOff>292100</xdr:colOff>
      <xdr:row>33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AAC17E-58C3-4716-104F-72E46E1D7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13</xdr:row>
      <xdr:rowOff>12700</xdr:rowOff>
    </xdr:from>
    <xdr:to>
      <xdr:col>17</xdr:col>
      <xdr:colOff>406400</xdr:colOff>
      <xdr:row>33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7FE2B3-2DC7-842E-6610-F5AEB2DEA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CD809E9E-0138-4F5E-A058-2309B51030E6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D718-C3F8-3E41-B93D-A09964EC163A}">
  <dimension ref="A1:Y36"/>
  <sheetViews>
    <sheetView tabSelected="1" workbookViewId="0">
      <selection activeCell="R35" sqref="R35"/>
    </sheetView>
  </sheetViews>
  <sheetFormatPr defaultColWidth="11.42578125" defaultRowHeight="15" x14ac:dyDescent="0.25"/>
  <cols>
    <col min="1" max="1" width="118.140625" customWidth="1"/>
    <col min="2" max="2" width="17.42578125" hidden="1" customWidth="1"/>
    <col min="3" max="4" width="16.7109375" hidden="1" customWidth="1"/>
    <col min="5" max="6" width="17.7109375" hidden="1" customWidth="1"/>
    <col min="7" max="8" width="12.28515625" hidden="1" customWidth="1"/>
    <col min="9" max="9" width="20.42578125" customWidth="1"/>
    <col min="10" max="10" width="17.7109375" customWidth="1"/>
    <col min="11" max="11" width="20.85546875" customWidth="1"/>
    <col min="12" max="12" width="21" customWidth="1"/>
    <col min="13" max="13" width="22" customWidth="1"/>
    <col min="14" max="14" width="20.5703125" customWidth="1"/>
    <col min="15" max="15" width="19.140625" customWidth="1"/>
    <col min="16" max="16" width="17.7109375" customWidth="1"/>
    <col min="17" max="17" width="21.28515625" customWidth="1"/>
    <col min="18" max="18" width="21.140625" customWidth="1"/>
    <col min="19" max="19" width="16.7109375" customWidth="1"/>
    <col min="20" max="20" width="21" customWidth="1"/>
    <col min="21" max="21" width="17.7109375" bestFit="1" customWidth="1"/>
    <col min="22" max="22" width="0" hidden="1" customWidth="1"/>
    <col min="23" max="23" width="18.28515625" bestFit="1" customWidth="1"/>
    <col min="25" max="25" width="17.42578125" bestFit="1" customWidth="1"/>
  </cols>
  <sheetData>
    <row r="1" spans="1:25" ht="15" customHeight="1" x14ac:dyDescent="0.25">
      <c r="A1" s="332"/>
      <c r="I1" s="336" t="s">
        <v>275</v>
      </c>
      <c r="J1" s="336"/>
      <c r="K1" s="336"/>
      <c r="L1" s="332" t="s">
        <v>285</v>
      </c>
      <c r="M1" s="332"/>
      <c r="N1" s="332"/>
      <c r="O1" s="332"/>
      <c r="P1" s="332"/>
      <c r="Q1" s="332"/>
      <c r="R1" s="332" t="s">
        <v>282</v>
      </c>
      <c r="S1" s="332"/>
      <c r="T1" s="332"/>
      <c r="U1" s="331" t="s">
        <v>2</v>
      </c>
      <c r="V1" t="s">
        <v>6</v>
      </c>
      <c r="W1" s="329" t="s">
        <v>276</v>
      </c>
    </row>
    <row r="2" spans="1:25" ht="15" customHeight="1" x14ac:dyDescent="0.25">
      <c r="A2" s="332"/>
      <c r="G2" s="334" t="s">
        <v>323</v>
      </c>
      <c r="H2" s="334"/>
      <c r="I2" s="336"/>
      <c r="J2" s="336"/>
      <c r="K2" s="336"/>
      <c r="L2" s="334" t="s">
        <v>280</v>
      </c>
      <c r="M2" s="334"/>
      <c r="N2" s="334"/>
      <c r="O2" s="335" t="s">
        <v>281</v>
      </c>
      <c r="P2" s="335"/>
      <c r="Q2" s="335"/>
      <c r="R2" s="335" t="s">
        <v>283</v>
      </c>
      <c r="S2" s="335"/>
      <c r="T2" s="335"/>
      <c r="U2" s="331"/>
      <c r="W2" s="330"/>
    </row>
    <row r="3" spans="1:25" ht="30" x14ac:dyDescent="0.25">
      <c r="A3" s="333"/>
      <c r="B3" s="64">
        <v>2026</v>
      </c>
      <c r="C3" s="64">
        <v>2027</v>
      </c>
      <c r="D3" s="64">
        <v>2028</v>
      </c>
      <c r="E3" s="64">
        <v>2029</v>
      </c>
      <c r="F3" s="64">
        <v>2030</v>
      </c>
      <c r="G3" s="278" t="s">
        <v>324</v>
      </c>
      <c r="H3" s="278" t="s">
        <v>325</v>
      </c>
      <c r="I3" s="278" t="s">
        <v>245</v>
      </c>
      <c r="J3" s="278" t="s">
        <v>246</v>
      </c>
      <c r="K3" s="279" t="s">
        <v>5</v>
      </c>
      <c r="L3" s="278" t="s">
        <v>245</v>
      </c>
      <c r="M3" s="278" t="s">
        <v>246</v>
      </c>
      <c r="N3" s="281" t="s">
        <v>279</v>
      </c>
      <c r="O3" s="278" t="s">
        <v>245</v>
      </c>
      <c r="P3" s="278" t="s">
        <v>246</v>
      </c>
      <c r="Q3" s="284" t="s">
        <v>278</v>
      </c>
      <c r="R3" s="278" t="s">
        <v>245</v>
      </c>
      <c r="S3" s="278" t="s">
        <v>246</v>
      </c>
      <c r="T3" s="281" t="s">
        <v>279</v>
      </c>
      <c r="U3" s="331"/>
      <c r="W3" s="325" t="s">
        <v>277</v>
      </c>
    </row>
    <row r="4" spans="1:25" ht="30" x14ac:dyDescent="0.25">
      <c r="A4" s="136" t="s">
        <v>233</v>
      </c>
      <c r="B4" s="59">
        <f>'Kostimi i planit te veprimit'!G13</f>
        <v>3500000</v>
      </c>
      <c r="C4" s="59">
        <f>'Kostimi i planit te veprimit'!J13</f>
        <v>1000000</v>
      </c>
      <c r="D4" s="59">
        <f>'Kostimi i planit te veprimit'!M13</f>
        <v>1928046153.8461537</v>
      </c>
      <c r="E4" s="59">
        <f>'Kostimi i planit te veprimit'!P13</f>
        <v>3857892307.6923075</v>
      </c>
      <c r="F4" s="59">
        <f>'Kostimi i planit te veprimit'!S13</f>
        <v>5782338461.5384617</v>
      </c>
      <c r="G4" s="59">
        <v>2026</v>
      </c>
      <c r="H4" s="59">
        <v>2030</v>
      </c>
      <c r="I4" s="59">
        <f>'Kostimi i planit te veprimit'!U13</f>
        <v>11572776923.076923</v>
      </c>
      <c r="J4" s="59">
        <f>'Kostimi i planit te veprimit'!V13</f>
        <v>0</v>
      </c>
      <c r="K4" s="62">
        <f>SUM(B4:F4)</f>
        <v>11572776923.076923</v>
      </c>
      <c r="L4" s="280">
        <f>'Kostimi i planit te veprimit'!X13</f>
        <v>1927446153.8461537</v>
      </c>
      <c r="M4" s="280">
        <f>'Kostimi i planit te veprimit'!Y13</f>
        <v>0</v>
      </c>
      <c r="N4" s="282">
        <f>'Kostimi i planit te veprimit'!Z13</f>
        <v>1927446153.8461537</v>
      </c>
      <c r="O4" s="280">
        <v>8100000</v>
      </c>
      <c r="P4" s="280">
        <f>'Kostimi i planit te veprimit'!AB8</f>
        <v>0</v>
      </c>
      <c r="Q4" s="163">
        <f>'Kostimi i planit te veprimit'!AD13</f>
        <v>8100000</v>
      </c>
      <c r="R4" s="59">
        <f>'Kostimi i planit te veprimit'!AE13</f>
        <v>9637230769.2307701</v>
      </c>
      <c r="S4" s="59">
        <f>'Kostimi i planit te veprimit'!AF13</f>
        <v>0</v>
      </c>
      <c r="T4" s="163">
        <f>'Kostimi i planit te veprimit'!AG13</f>
        <v>9637230769.2307701</v>
      </c>
      <c r="U4" s="62">
        <f>'Kostimi i planit te veprimit'!AI13</f>
        <v>0</v>
      </c>
      <c r="V4" s="56"/>
      <c r="W4" s="326">
        <f>K4/96</f>
        <v>120549759.61538462</v>
      </c>
      <c r="Y4" s="157"/>
    </row>
    <row r="5" spans="1:25" ht="30" x14ac:dyDescent="0.25">
      <c r="A5" s="58" t="s">
        <v>221</v>
      </c>
      <c r="B5" s="59">
        <f>'Kostimi i planit te veprimit'!G24</f>
        <v>492780000</v>
      </c>
      <c r="C5" s="59">
        <f>'Kostimi i planit te veprimit'!J24</f>
        <v>594800000</v>
      </c>
      <c r="D5" s="59">
        <f>'Kostimi i planit te veprimit'!M24</f>
        <v>697180000</v>
      </c>
      <c r="E5" s="59">
        <f>'Kostimi i planit te veprimit'!P24</f>
        <v>768460000</v>
      </c>
      <c r="F5" s="59">
        <f>'Kostimi i planit te veprimit'!S24</f>
        <v>768460000</v>
      </c>
      <c r="G5" s="59">
        <v>2026</v>
      </c>
      <c r="H5" s="59">
        <v>2030</v>
      </c>
      <c r="I5" s="59">
        <f>'Kostimi i planit te veprimit'!U24</f>
        <v>3321680000</v>
      </c>
      <c r="J5" s="59">
        <f>'Kostimi i planit te veprimit'!V24</f>
        <v>0</v>
      </c>
      <c r="K5" s="62">
        <f>'Kostimi i planit te veprimit'!W24</f>
        <v>3321680000</v>
      </c>
      <c r="L5" s="59">
        <f>'Kostimi i planit te veprimit'!X24</f>
        <v>1564390000</v>
      </c>
      <c r="M5" s="59">
        <f>'Kostimi i planit te veprimit'!Y24</f>
        <v>0</v>
      </c>
      <c r="N5" s="163">
        <f>'Kostimi i planit te veprimit'!Z24</f>
        <v>1564390000</v>
      </c>
      <c r="O5" s="59">
        <f>'Kostimi i planit te veprimit'!AA24</f>
        <v>0</v>
      </c>
      <c r="P5" s="59">
        <f>'Kostimi i planit te veprimit'!AB24</f>
        <v>0</v>
      </c>
      <c r="Q5" s="163">
        <f>'Kostimi i planit te veprimit'!AD24</f>
        <v>0</v>
      </c>
      <c r="R5" s="59">
        <f>'Kostimi i planit te veprimit'!AE24</f>
        <v>1536920000</v>
      </c>
      <c r="S5" s="59">
        <f>'Kostimi i planit te veprimit'!AF24</f>
        <v>0</v>
      </c>
      <c r="T5" s="163">
        <f>'Kostimi i planit te veprimit'!AG24</f>
        <v>1536920000</v>
      </c>
      <c r="U5" s="62">
        <f>'Kostimi i planit te veprimit'!AI24</f>
        <v>220370000</v>
      </c>
      <c r="V5" s="57"/>
      <c r="W5" s="326">
        <f t="shared" ref="W5:W26" si="0">K5/96</f>
        <v>34600833.333333336</v>
      </c>
      <c r="Y5" s="157"/>
    </row>
    <row r="6" spans="1:25" ht="30" customHeight="1" x14ac:dyDescent="0.25">
      <c r="A6" s="135" t="s">
        <v>222</v>
      </c>
      <c r="B6" s="59">
        <f>'Kostimi i planit te veprimit'!G30</f>
        <v>2500000</v>
      </c>
      <c r="C6" s="59">
        <f>'Kostimi i planit te veprimit'!J30</f>
        <v>5388000</v>
      </c>
      <c r="D6" s="59">
        <f>'Kostimi i planit te veprimit'!M30</f>
        <v>3888000</v>
      </c>
      <c r="E6" s="59">
        <f>'Kostimi i planit te veprimit'!P30</f>
        <v>2160000</v>
      </c>
      <c r="F6" s="59">
        <f>'Kostimi i planit te veprimit'!S30</f>
        <v>0</v>
      </c>
      <c r="G6" s="59">
        <v>2026</v>
      </c>
      <c r="H6" s="59">
        <v>2030</v>
      </c>
      <c r="I6" s="59">
        <v>13936000</v>
      </c>
      <c r="J6" s="59">
        <v>0</v>
      </c>
      <c r="K6" s="62">
        <v>13936000</v>
      </c>
      <c r="L6" s="59">
        <v>4320000</v>
      </c>
      <c r="M6" s="59">
        <v>0</v>
      </c>
      <c r="N6" s="163">
        <v>4320000</v>
      </c>
      <c r="O6" s="59">
        <v>4000000</v>
      </c>
      <c r="P6" s="59">
        <v>0</v>
      </c>
      <c r="Q6" s="163">
        <v>4000000</v>
      </c>
      <c r="R6" s="59">
        <v>2160000</v>
      </c>
      <c r="S6" s="59">
        <v>0</v>
      </c>
      <c r="T6" s="163">
        <v>2160000</v>
      </c>
      <c r="U6" s="62">
        <f>'Kostimi i planit te veprimit'!AI30</f>
        <v>3456000</v>
      </c>
      <c r="V6" s="57"/>
      <c r="W6" s="326">
        <f t="shared" si="0"/>
        <v>145166.66666666666</v>
      </c>
      <c r="Y6" s="157"/>
    </row>
    <row r="7" spans="1:25" ht="30" customHeight="1" x14ac:dyDescent="0.25">
      <c r="A7" s="135" t="s">
        <v>224</v>
      </c>
      <c r="B7" s="59">
        <f>'Kostimi i planit te veprimit'!G44</f>
        <v>170038995.73333332</v>
      </c>
      <c r="C7" s="59">
        <f>'Kostimi i planit te veprimit'!J44</f>
        <v>273837995.73333335</v>
      </c>
      <c r="D7" s="59">
        <f>'Kostimi i planit te veprimit'!M44</f>
        <v>285282493.60000002</v>
      </c>
      <c r="E7" s="59">
        <f>'Kostimi i planit te veprimit'!P44</f>
        <v>281382493.60000002</v>
      </c>
      <c r="F7" s="59">
        <f>'Kostimi i planit te veprimit'!S44</f>
        <v>287840324.80000001</v>
      </c>
      <c r="G7" s="59">
        <v>2026</v>
      </c>
      <c r="H7" s="59">
        <v>2030</v>
      </c>
      <c r="I7" s="59">
        <v>1290582303.4666667</v>
      </c>
      <c r="J7" s="59">
        <v>7800000</v>
      </c>
      <c r="K7" s="62">
        <v>1298382303.4666667</v>
      </c>
      <c r="L7" s="59">
        <v>478381485.0666666</v>
      </c>
      <c r="M7" s="59">
        <v>0</v>
      </c>
      <c r="N7" s="163">
        <v>478381485.0666666</v>
      </c>
      <c r="O7" s="59">
        <v>5400000</v>
      </c>
      <c r="P7" s="59">
        <v>57180000</v>
      </c>
      <c r="Q7" s="163">
        <v>62580000</v>
      </c>
      <c r="R7" s="59">
        <v>377124818.39999998</v>
      </c>
      <c r="S7" s="59">
        <v>3900000</v>
      </c>
      <c r="T7" s="163">
        <v>381024818.39999998</v>
      </c>
      <c r="U7" s="62">
        <v>376396000</v>
      </c>
      <c r="V7" s="57"/>
      <c r="W7" s="326">
        <f t="shared" si="0"/>
        <v>13524815.661111111</v>
      </c>
      <c r="Y7" s="157"/>
    </row>
    <row r="8" spans="1:25" ht="30" customHeight="1" x14ac:dyDescent="0.25">
      <c r="A8" s="135" t="s">
        <v>226</v>
      </c>
      <c r="B8" s="59">
        <f>'Kostimi i planit te veprimit'!G53</f>
        <v>257654383.33333331</v>
      </c>
      <c r="C8" s="59">
        <f>'Kostimi i planit te veprimit'!J53</f>
        <v>300703883.33333331</v>
      </c>
      <c r="D8" s="59">
        <f>'Kostimi i planit te veprimit'!M53</f>
        <v>306530550</v>
      </c>
      <c r="E8" s="59">
        <f>'Kostimi i planit te veprimit'!P53</f>
        <v>308546550</v>
      </c>
      <c r="F8" s="59">
        <f>'Kostimi i planit te veprimit'!S53</f>
        <v>308546550</v>
      </c>
      <c r="G8" s="59">
        <v>2026</v>
      </c>
      <c r="H8" s="59">
        <v>2030</v>
      </c>
      <c r="I8" s="59">
        <v>1481981916.6666665</v>
      </c>
      <c r="J8" s="59">
        <v>0</v>
      </c>
      <c r="K8" s="62">
        <v>1481981916.6666665</v>
      </c>
      <c r="L8" s="59">
        <v>805128816.66666663</v>
      </c>
      <c r="M8" s="59">
        <v>0</v>
      </c>
      <c r="N8" s="163">
        <v>805128816.66666663</v>
      </c>
      <c r="O8" s="59">
        <v>4200000</v>
      </c>
      <c r="P8" s="59">
        <v>0</v>
      </c>
      <c r="Q8" s="163">
        <v>4200000</v>
      </c>
      <c r="R8" s="59">
        <v>558341100</v>
      </c>
      <c r="S8" s="59">
        <v>0</v>
      </c>
      <c r="T8" s="163">
        <v>558341100</v>
      </c>
      <c r="U8" s="62">
        <v>114312000</v>
      </c>
      <c r="V8" s="57"/>
      <c r="W8" s="326">
        <f t="shared" si="0"/>
        <v>15437311.631944442</v>
      </c>
      <c r="Y8" s="157"/>
    </row>
    <row r="9" spans="1:25" ht="30" customHeight="1" x14ac:dyDescent="0.25">
      <c r="A9" s="146" t="s">
        <v>228</v>
      </c>
      <c r="B9" s="59">
        <f>'Kostimi i planit te veprimit'!G65</f>
        <v>5000000</v>
      </c>
      <c r="C9" s="59">
        <f>'Kostimi i planit te veprimit'!J65</f>
        <v>9800000</v>
      </c>
      <c r="D9" s="59">
        <f>'Kostimi i planit te veprimit'!M65</f>
        <v>9800000</v>
      </c>
      <c r="E9" s="59">
        <f>'Kostimi i planit te veprimit'!P65</f>
        <v>9800000</v>
      </c>
      <c r="F9" s="59">
        <f>'Kostimi i planit te veprimit'!S65</f>
        <v>9800000</v>
      </c>
      <c r="G9" s="59">
        <v>2026</v>
      </c>
      <c r="H9" s="59">
        <v>2030</v>
      </c>
      <c r="I9" s="59">
        <v>44200000</v>
      </c>
      <c r="J9" s="59">
        <v>0</v>
      </c>
      <c r="K9" s="62">
        <v>44200000</v>
      </c>
      <c r="L9" s="59"/>
      <c r="M9" s="59"/>
      <c r="N9" s="163">
        <v>0</v>
      </c>
      <c r="O9" s="59">
        <v>34600000</v>
      </c>
      <c r="P9" s="59">
        <v>0</v>
      </c>
      <c r="Q9" s="163">
        <v>34600000</v>
      </c>
      <c r="R9" s="59">
        <v>0</v>
      </c>
      <c r="S9" s="59">
        <v>0</v>
      </c>
      <c r="T9" s="163">
        <v>0</v>
      </c>
      <c r="U9" s="62">
        <v>9600000</v>
      </c>
      <c r="V9" s="57"/>
      <c r="W9" s="326">
        <f t="shared" si="0"/>
        <v>460416.66666666669</v>
      </c>
      <c r="Y9" s="157"/>
    </row>
    <row r="10" spans="1:25" ht="18.75" x14ac:dyDescent="0.25">
      <c r="A10" s="148" t="s">
        <v>299</v>
      </c>
      <c r="B10" s="149">
        <f>SUM(B4:B9)</f>
        <v>931473379.0666666</v>
      </c>
      <c r="C10" s="149">
        <f t="shared" ref="C10:F10" si="1">SUM(C4:C9)</f>
        <v>1185529879.0666666</v>
      </c>
      <c r="D10" s="149">
        <f t="shared" si="1"/>
        <v>3230727197.4461536</v>
      </c>
      <c r="E10" s="149">
        <f t="shared" si="1"/>
        <v>5228241351.2923079</v>
      </c>
      <c r="F10" s="149">
        <f t="shared" si="1"/>
        <v>7156985336.3384619</v>
      </c>
      <c r="G10" s="149"/>
      <c r="H10" s="149"/>
      <c r="I10" s="149">
        <f>SUM(I4:I9)</f>
        <v>17725157143.210258</v>
      </c>
      <c r="J10" s="149">
        <f>SUM(J4:J9)</f>
        <v>7800000</v>
      </c>
      <c r="K10" s="150">
        <f>SUM(K4:K9)</f>
        <v>17732957143.210258</v>
      </c>
      <c r="L10" s="149">
        <f t="shared" ref="L10:M10" si="2">SUM(L4:L9)</f>
        <v>4779666455.5794868</v>
      </c>
      <c r="M10" s="149">
        <f t="shared" si="2"/>
        <v>0</v>
      </c>
      <c r="N10" s="283">
        <f>SUM(N4:N9)</f>
        <v>4779666455.5794868</v>
      </c>
      <c r="O10" s="149">
        <f t="shared" ref="O10:P10" si="3">SUM(O4:O9)</f>
        <v>56300000</v>
      </c>
      <c r="P10" s="149">
        <f t="shared" si="3"/>
        <v>57180000</v>
      </c>
      <c r="Q10" s="283">
        <f>SUM(Q4:Q9)</f>
        <v>113480000</v>
      </c>
      <c r="R10" s="149">
        <f t="shared" ref="R10:T10" si="4">SUM(R4:R9)</f>
        <v>12111776687.63077</v>
      </c>
      <c r="S10" s="149">
        <f t="shared" si="4"/>
        <v>3900000</v>
      </c>
      <c r="T10" s="283">
        <f t="shared" si="4"/>
        <v>12115676687.63077</v>
      </c>
      <c r="U10" s="151">
        <f>K10-N10-Q10-T10</f>
        <v>724134000.00000191</v>
      </c>
      <c r="V10" s="143">
        <f>U10/K10</f>
        <v>4.0835490333165574E-2</v>
      </c>
      <c r="W10" s="327">
        <f>K10/96</f>
        <v>184718303.57510686</v>
      </c>
      <c r="Y10" s="157"/>
    </row>
    <row r="11" spans="1:25" ht="45" x14ac:dyDescent="0.25">
      <c r="A11" s="147" t="s">
        <v>229</v>
      </c>
      <c r="B11" s="59" t="e">
        <f>#REF!</f>
        <v>#REF!</v>
      </c>
      <c r="C11" s="59" t="e">
        <f>#REF!</f>
        <v>#REF!</v>
      </c>
      <c r="D11" s="59" t="e">
        <f>#REF!</f>
        <v>#REF!</v>
      </c>
      <c r="E11" s="59" t="e">
        <f>#REF!</f>
        <v>#REF!</v>
      </c>
      <c r="F11" s="59" t="e">
        <f>#REF!</f>
        <v>#REF!</v>
      </c>
      <c r="G11" s="59">
        <v>2026</v>
      </c>
      <c r="H11" s="59">
        <v>2030</v>
      </c>
      <c r="I11" s="59">
        <v>1277776160</v>
      </c>
      <c r="J11" s="59">
        <v>1136397520</v>
      </c>
      <c r="K11" s="62">
        <v>2414173680</v>
      </c>
      <c r="L11" s="59">
        <v>562370000</v>
      </c>
      <c r="M11" s="59">
        <v>750866560</v>
      </c>
      <c r="N11" s="163">
        <v>1313236560</v>
      </c>
      <c r="O11" s="59">
        <v>5760000</v>
      </c>
      <c r="P11" s="59"/>
      <c r="Q11" s="163">
        <v>5760000</v>
      </c>
      <c r="R11" s="59">
        <v>709646160</v>
      </c>
      <c r="S11" s="59">
        <v>385530960</v>
      </c>
      <c r="T11" s="163">
        <v>1095177120</v>
      </c>
      <c r="U11" s="151">
        <f t="shared" ref="U11:U12" si="5">K11-N11-Q11-T11</f>
        <v>0</v>
      </c>
      <c r="V11" s="59"/>
      <c r="W11" s="326">
        <f t="shared" si="0"/>
        <v>25147642.5</v>
      </c>
      <c r="Y11" s="157"/>
    </row>
    <row r="12" spans="1:25" ht="30" x14ac:dyDescent="0.25">
      <c r="A12" s="146" t="s">
        <v>230</v>
      </c>
      <c r="B12" s="59" t="e">
        <f>#REF!</f>
        <v>#REF!</v>
      </c>
      <c r="C12" s="59" t="e">
        <f>#REF!</f>
        <v>#REF!</v>
      </c>
      <c r="D12" s="59" t="e">
        <f>#REF!</f>
        <v>#REF!</v>
      </c>
      <c r="E12" s="59" t="e">
        <f>#REF!</f>
        <v>#REF!</v>
      </c>
      <c r="F12" s="59" t="e">
        <f>#REF!</f>
        <v>#REF!</v>
      </c>
      <c r="G12" s="59">
        <v>2026</v>
      </c>
      <c r="H12" s="59">
        <v>2030</v>
      </c>
      <c r="I12" s="59">
        <v>16200000</v>
      </c>
      <c r="J12" s="59">
        <v>0</v>
      </c>
      <c r="K12" s="62">
        <v>16200000</v>
      </c>
      <c r="L12" s="59">
        <v>16200000</v>
      </c>
      <c r="M12" s="59">
        <v>0</v>
      </c>
      <c r="N12" s="163">
        <v>16200000</v>
      </c>
      <c r="O12" s="59"/>
      <c r="P12" s="59"/>
      <c r="Q12" s="163">
        <v>0</v>
      </c>
      <c r="R12" s="59"/>
      <c r="S12" s="59"/>
      <c r="T12" s="163"/>
      <c r="U12" s="151">
        <f t="shared" si="5"/>
        <v>0</v>
      </c>
      <c r="V12" s="59"/>
      <c r="W12" s="326">
        <f t="shared" si="0"/>
        <v>168750</v>
      </c>
      <c r="Y12" s="157"/>
    </row>
    <row r="13" spans="1:25" ht="18.75" x14ac:dyDescent="0.25">
      <c r="A13" s="148" t="s">
        <v>148</v>
      </c>
      <c r="B13" s="149" t="e">
        <f>SUM(B11:B12)</f>
        <v>#REF!</v>
      </c>
      <c r="C13" s="149" t="e">
        <f>SUM(C11:C12)</f>
        <v>#REF!</v>
      </c>
      <c r="D13" s="149" t="e">
        <f>SUM(D11:D12)</f>
        <v>#REF!</v>
      </c>
      <c r="E13" s="149" t="e">
        <f>SUM(E11:E12)</f>
        <v>#REF!</v>
      </c>
      <c r="F13" s="149" t="e">
        <f>SUM(F11:F12)</f>
        <v>#REF!</v>
      </c>
      <c r="G13" s="149"/>
      <c r="H13" s="149"/>
      <c r="I13" s="149">
        <f>SUM(I11:I12)</f>
        <v>1293976160</v>
      </c>
      <c r="J13" s="149">
        <f>SUM(J11:J12)</f>
        <v>1136397520</v>
      </c>
      <c r="K13" s="150">
        <f>SUM(K11:K12)</f>
        <v>2430373680</v>
      </c>
      <c r="L13" s="149">
        <f t="shared" ref="L13:M13" si="6">SUM(L11:L12)</f>
        <v>578570000</v>
      </c>
      <c r="M13" s="149">
        <f t="shared" si="6"/>
        <v>750866560</v>
      </c>
      <c r="N13" s="283">
        <f>SUM(N11:N12)</f>
        <v>1329436560</v>
      </c>
      <c r="O13" s="149">
        <f t="shared" ref="O13" si="7">SUM(O11:O12)</f>
        <v>5760000</v>
      </c>
      <c r="P13" s="149">
        <f t="shared" ref="P13" si="8">SUM(P11:P12)</f>
        <v>0</v>
      </c>
      <c r="Q13" s="283">
        <f>SUM(Q11:Q12)</f>
        <v>5760000</v>
      </c>
      <c r="R13" s="149">
        <f t="shared" ref="R13" si="9">SUM(R11:R12)</f>
        <v>709646160</v>
      </c>
      <c r="S13" s="149">
        <f t="shared" ref="S13" si="10">SUM(S11:S12)</f>
        <v>385530960</v>
      </c>
      <c r="T13" s="283">
        <f>SUM(T11:T12)</f>
        <v>1095177120</v>
      </c>
      <c r="U13" s="151">
        <f>K13-N13-Q13-T13</f>
        <v>0</v>
      </c>
      <c r="V13" s="110">
        <f>U13/K13</f>
        <v>0</v>
      </c>
      <c r="W13" s="326">
        <f t="shared" si="0"/>
        <v>25316392.5</v>
      </c>
      <c r="Y13" s="157"/>
    </row>
    <row r="14" spans="1:25" x14ac:dyDescent="0.25">
      <c r="A14" s="147" t="s">
        <v>231</v>
      </c>
      <c r="B14" s="59" t="e">
        <f>#REF!</f>
        <v>#REF!</v>
      </c>
      <c r="C14" s="59" t="e">
        <f>#REF!</f>
        <v>#REF!</v>
      </c>
      <c r="D14" s="59" t="e">
        <f>#REF!</f>
        <v>#REF!</v>
      </c>
      <c r="E14" s="59" t="e">
        <f>#REF!</f>
        <v>#REF!</v>
      </c>
      <c r="F14" s="59" t="e">
        <f>#REF!</f>
        <v>#REF!</v>
      </c>
      <c r="G14" s="59">
        <v>2026</v>
      </c>
      <c r="H14" s="59">
        <v>2030</v>
      </c>
      <c r="I14" s="59">
        <v>12298663000</v>
      </c>
      <c r="J14" s="59">
        <v>0</v>
      </c>
      <c r="K14" s="62">
        <v>12298663000</v>
      </c>
      <c r="L14" s="59">
        <v>7235663000</v>
      </c>
      <c r="M14" s="59">
        <v>0</v>
      </c>
      <c r="N14" s="163">
        <v>7235663000</v>
      </c>
      <c r="O14" s="59">
        <v>3000000</v>
      </c>
      <c r="P14" s="59">
        <v>0</v>
      </c>
      <c r="Q14" s="163">
        <v>3000000</v>
      </c>
      <c r="R14" s="59">
        <v>5060000000</v>
      </c>
      <c r="S14" s="59">
        <v>0</v>
      </c>
      <c r="T14" s="163">
        <v>5060000000</v>
      </c>
      <c r="U14" s="151">
        <f t="shared" ref="U14:U25" si="11">K14-N14-Q14-T14</f>
        <v>0</v>
      </c>
      <c r="W14" s="326">
        <f t="shared" si="0"/>
        <v>128111072.91666667</v>
      </c>
      <c r="Y14" s="157"/>
    </row>
    <row r="15" spans="1:25" x14ac:dyDescent="0.25">
      <c r="A15" s="133" t="s">
        <v>232</v>
      </c>
      <c r="B15" s="59" t="e">
        <f>#REF!</f>
        <v>#REF!</v>
      </c>
      <c r="C15" s="59" t="e">
        <f>#REF!</f>
        <v>#REF!</v>
      </c>
      <c r="D15" s="59" t="e">
        <f>#REF!</f>
        <v>#REF!</v>
      </c>
      <c r="E15" s="59" t="e">
        <f>#REF!</f>
        <v>#REF!</v>
      </c>
      <c r="F15" s="59" t="e">
        <f>#REF!</f>
        <v>#REF!</v>
      </c>
      <c r="G15" s="59">
        <v>2026</v>
      </c>
      <c r="H15" s="59">
        <v>2030</v>
      </c>
      <c r="I15" s="59">
        <v>753200000</v>
      </c>
      <c r="J15" s="59">
        <v>115200000</v>
      </c>
      <c r="K15" s="62">
        <v>868400000</v>
      </c>
      <c r="L15" s="59">
        <v>391200000</v>
      </c>
      <c r="M15" s="59">
        <v>0</v>
      </c>
      <c r="N15" s="163">
        <v>391200000</v>
      </c>
      <c r="O15" s="59">
        <v>102000000</v>
      </c>
      <c r="P15" s="59">
        <v>0</v>
      </c>
      <c r="Q15" s="163">
        <v>102000000</v>
      </c>
      <c r="R15" s="59">
        <v>260000000</v>
      </c>
      <c r="S15" s="59">
        <v>0</v>
      </c>
      <c r="T15" s="163">
        <v>260000000</v>
      </c>
      <c r="U15" s="152">
        <f t="shared" si="11"/>
        <v>115200000</v>
      </c>
      <c r="W15" s="326">
        <f t="shared" si="0"/>
        <v>9045833.333333334</v>
      </c>
      <c r="Y15" s="157"/>
    </row>
    <row r="16" spans="1:25" ht="18.75" x14ac:dyDescent="0.25">
      <c r="A16" s="148" t="s">
        <v>149</v>
      </c>
      <c r="B16" s="149" t="e">
        <f>SUM(B14:B15)</f>
        <v>#REF!</v>
      </c>
      <c r="C16" s="149" t="e">
        <f t="shared" ref="C16:E16" si="12">SUM(C14:C15)</f>
        <v>#REF!</v>
      </c>
      <c r="D16" s="149" t="e">
        <f t="shared" si="12"/>
        <v>#REF!</v>
      </c>
      <c r="E16" s="149" t="e">
        <f t="shared" si="12"/>
        <v>#REF!</v>
      </c>
      <c r="F16" s="149" t="e">
        <f>SUM(F14:F15)</f>
        <v>#REF!</v>
      </c>
      <c r="G16" s="149"/>
      <c r="H16" s="149"/>
      <c r="I16" s="149">
        <f>SUM(I14:I15)</f>
        <v>13051863000</v>
      </c>
      <c r="J16" s="149">
        <f t="shared" ref="J16:N16" si="13">SUM(J14:J15)</f>
        <v>115200000</v>
      </c>
      <c r="K16" s="150">
        <f>SUM(K14:K15)</f>
        <v>13167063000</v>
      </c>
      <c r="L16" s="149">
        <f t="shared" si="13"/>
        <v>7626863000</v>
      </c>
      <c r="M16" s="149">
        <f t="shared" si="13"/>
        <v>0</v>
      </c>
      <c r="N16" s="283">
        <f t="shared" si="13"/>
        <v>7626863000</v>
      </c>
      <c r="O16" s="149">
        <f t="shared" ref="O16" si="14">SUM(O14:O15)</f>
        <v>105000000</v>
      </c>
      <c r="P16" s="149">
        <f t="shared" ref="P16" si="15">SUM(P14:P15)</f>
        <v>0</v>
      </c>
      <c r="Q16" s="283">
        <f t="shared" ref="Q16" si="16">SUM(Q14:Q15)</f>
        <v>105000000</v>
      </c>
      <c r="R16" s="149">
        <f t="shared" ref="R16:S16" si="17">SUM(R14:R15)</f>
        <v>5320000000</v>
      </c>
      <c r="S16" s="149">
        <f t="shared" si="17"/>
        <v>0</v>
      </c>
      <c r="T16" s="283">
        <f>SUM(T14:T15)</f>
        <v>5320000000</v>
      </c>
      <c r="U16" s="151">
        <f t="shared" si="11"/>
        <v>115200000</v>
      </c>
      <c r="V16" s="110">
        <f>U16/K16</f>
        <v>8.7491037295105226E-3</v>
      </c>
      <c r="W16" s="327">
        <f t="shared" si="0"/>
        <v>137156906.25</v>
      </c>
      <c r="Y16" s="157"/>
    </row>
    <row r="17" spans="1:25" ht="30" x14ac:dyDescent="0.25">
      <c r="A17" s="147" t="s">
        <v>234</v>
      </c>
      <c r="B17" s="59" t="e">
        <f>#REF!</f>
        <v>#REF!</v>
      </c>
      <c r="C17" s="59" t="e">
        <f>#REF!</f>
        <v>#REF!</v>
      </c>
      <c r="D17" s="59" t="e">
        <f>#REF!</f>
        <v>#REF!</v>
      </c>
      <c r="E17" s="59" t="e">
        <f>#REF!</f>
        <v>#REF!</v>
      </c>
      <c r="F17" s="59" t="e">
        <f>#REF!</f>
        <v>#REF!</v>
      </c>
      <c r="G17" s="59">
        <v>2026</v>
      </c>
      <c r="H17" s="59">
        <v>2030</v>
      </c>
      <c r="I17" s="59">
        <v>7704678900</v>
      </c>
      <c r="J17" s="59">
        <v>525375000</v>
      </c>
      <c r="K17" s="62">
        <v>8230053900</v>
      </c>
      <c r="L17" s="59">
        <v>2252338200</v>
      </c>
      <c r="M17" s="59">
        <v>0</v>
      </c>
      <c r="N17" s="163">
        <v>2252338200</v>
      </c>
      <c r="O17" s="59">
        <v>1582207000</v>
      </c>
      <c r="P17" s="59">
        <v>210150000</v>
      </c>
      <c r="Q17" s="163">
        <v>1792357000</v>
      </c>
      <c r="R17" s="59">
        <v>2404265450</v>
      </c>
      <c r="S17" s="59">
        <v>157612500</v>
      </c>
      <c r="T17" s="163">
        <v>2561877950</v>
      </c>
      <c r="U17" s="152">
        <f t="shared" si="11"/>
        <v>1623480750</v>
      </c>
      <c r="W17" s="326">
        <f t="shared" si="0"/>
        <v>85729728.125</v>
      </c>
      <c r="Y17" s="157"/>
    </row>
    <row r="18" spans="1:25" ht="30" x14ac:dyDescent="0.25">
      <c r="A18" s="146" t="s">
        <v>235</v>
      </c>
      <c r="B18" s="59" t="e">
        <f>#REF!</f>
        <v>#REF!</v>
      </c>
      <c r="C18" s="59" t="e">
        <f>#REF!</f>
        <v>#REF!</v>
      </c>
      <c r="D18" s="59" t="e">
        <f>#REF!</f>
        <v>#REF!</v>
      </c>
      <c r="E18" s="59" t="e">
        <f>#REF!</f>
        <v>#REF!</v>
      </c>
      <c r="F18" s="59" t="e">
        <f>#REF!</f>
        <v>#REF!</v>
      </c>
      <c r="G18" s="59">
        <v>2026</v>
      </c>
      <c r="H18" s="59">
        <v>2030</v>
      </c>
      <c r="I18" s="59">
        <v>649103875</v>
      </c>
      <c r="J18" s="59">
        <v>20000000</v>
      </c>
      <c r="K18" s="62">
        <v>669103875</v>
      </c>
      <c r="L18" s="59">
        <v>343903125</v>
      </c>
      <c r="M18" s="59">
        <v>0</v>
      </c>
      <c r="N18" s="163">
        <v>343903125</v>
      </c>
      <c r="O18" s="59">
        <v>15742000</v>
      </c>
      <c r="P18" s="59">
        <v>0</v>
      </c>
      <c r="Q18" s="163">
        <v>15742000</v>
      </c>
      <c r="R18" s="59">
        <v>287458750</v>
      </c>
      <c r="S18" s="59">
        <v>0</v>
      </c>
      <c r="T18" s="163">
        <v>287458750</v>
      </c>
      <c r="U18" s="152">
        <f t="shared" si="11"/>
        <v>22000000</v>
      </c>
      <c r="V18">
        <v>287458750</v>
      </c>
      <c r="W18" s="326">
        <f t="shared" si="0"/>
        <v>6969832.03125</v>
      </c>
      <c r="Y18" s="157"/>
    </row>
    <row r="19" spans="1:25" ht="18.75" x14ac:dyDescent="0.25">
      <c r="A19" s="148" t="s">
        <v>86</v>
      </c>
      <c r="B19" s="149" t="e">
        <f>SUM(B17:B18)</f>
        <v>#REF!</v>
      </c>
      <c r="C19" s="149" t="e">
        <f t="shared" ref="C19:F19" si="18">SUM(C17:C18)</f>
        <v>#REF!</v>
      </c>
      <c r="D19" s="149" t="e">
        <f t="shared" si="18"/>
        <v>#REF!</v>
      </c>
      <c r="E19" s="149" t="e">
        <f t="shared" si="18"/>
        <v>#REF!</v>
      </c>
      <c r="F19" s="149" t="e">
        <f t="shared" si="18"/>
        <v>#REF!</v>
      </c>
      <c r="G19" s="149"/>
      <c r="H19" s="149"/>
      <c r="I19" s="149">
        <f>SUM(I17:I18)</f>
        <v>8353782775</v>
      </c>
      <c r="J19" s="149">
        <f t="shared" ref="J19:T19" si="19">SUM(J17:J18)</f>
        <v>545375000</v>
      </c>
      <c r="K19" s="150">
        <f>SUM(K17:K18)</f>
        <v>8899157775</v>
      </c>
      <c r="L19" s="149">
        <f t="shared" si="19"/>
        <v>2596241325</v>
      </c>
      <c r="M19" s="149">
        <f t="shared" si="19"/>
        <v>0</v>
      </c>
      <c r="N19" s="283">
        <f t="shared" si="19"/>
        <v>2596241325</v>
      </c>
      <c r="O19" s="149">
        <f t="shared" si="19"/>
        <v>1597949000</v>
      </c>
      <c r="P19" s="149">
        <f t="shared" si="19"/>
        <v>210150000</v>
      </c>
      <c r="Q19" s="283">
        <f t="shared" si="19"/>
        <v>1808099000</v>
      </c>
      <c r="R19" s="149">
        <f t="shared" si="19"/>
        <v>2691724200</v>
      </c>
      <c r="S19" s="149">
        <f t="shared" si="19"/>
        <v>157612500</v>
      </c>
      <c r="T19" s="283">
        <f t="shared" si="19"/>
        <v>2849336700</v>
      </c>
      <c r="U19" s="151">
        <f t="shared" si="11"/>
        <v>1645480750</v>
      </c>
      <c r="V19" s="153">
        <f>U19/K19</f>
        <v>0.18490297527060082</v>
      </c>
      <c r="W19" s="327">
        <f t="shared" si="0"/>
        <v>92699560.15625</v>
      </c>
      <c r="Y19" s="157"/>
    </row>
    <row r="20" spans="1:25" x14ac:dyDescent="0.25">
      <c r="A20" s="133" t="s">
        <v>150</v>
      </c>
      <c r="B20" s="59" t="e">
        <f>#REF!</f>
        <v>#REF!</v>
      </c>
      <c r="C20" s="59" t="e">
        <f>#REF!</f>
        <v>#REF!</v>
      </c>
      <c r="D20" s="59" t="e">
        <f>#REF!</f>
        <v>#REF!</v>
      </c>
      <c r="E20" s="59" t="e">
        <f>#REF!</f>
        <v>#REF!</v>
      </c>
      <c r="F20" s="59" t="e">
        <f>#REF!</f>
        <v>#REF!</v>
      </c>
      <c r="G20" s="59">
        <v>2026</v>
      </c>
      <c r="H20" s="59">
        <v>2030</v>
      </c>
      <c r="I20" s="59">
        <v>200100000</v>
      </c>
      <c r="J20" s="59">
        <v>115200000</v>
      </c>
      <c r="K20" s="62">
        <v>315300000</v>
      </c>
      <c r="L20" s="59">
        <v>17400000</v>
      </c>
      <c r="M20" s="59">
        <v>0</v>
      </c>
      <c r="N20" s="163">
        <v>17400000</v>
      </c>
      <c r="O20" s="59">
        <v>113000000</v>
      </c>
      <c r="P20" s="59">
        <v>0</v>
      </c>
      <c r="Q20" s="163">
        <v>113000000</v>
      </c>
      <c r="R20" s="59">
        <v>9600000</v>
      </c>
      <c r="S20" s="59">
        <v>0</v>
      </c>
      <c r="T20" s="163">
        <v>9600000</v>
      </c>
      <c r="U20" s="152">
        <f t="shared" si="11"/>
        <v>175300000</v>
      </c>
      <c r="W20" s="326">
        <f t="shared" si="0"/>
        <v>3284375</v>
      </c>
      <c r="Y20" s="157"/>
    </row>
    <row r="21" spans="1:25" ht="30" x14ac:dyDescent="0.25">
      <c r="A21" s="146" t="s">
        <v>211</v>
      </c>
      <c r="B21" s="59" t="e">
        <f>#REF!</f>
        <v>#REF!</v>
      </c>
      <c r="C21" s="59" t="e">
        <f>#REF!</f>
        <v>#REF!</v>
      </c>
      <c r="D21" s="59" t="e">
        <f>#REF!</f>
        <v>#REF!</v>
      </c>
      <c r="E21" s="59" t="e">
        <f>#REF!</f>
        <v>#REF!</v>
      </c>
      <c r="F21" s="59" t="e">
        <f>#REF!</f>
        <v>#REF!</v>
      </c>
      <c r="G21" s="59">
        <v>2026</v>
      </c>
      <c r="H21" s="59">
        <v>2030</v>
      </c>
      <c r="I21" s="59">
        <v>5753550000</v>
      </c>
      <c r="J21" s="59">
        <v>950000000</v>
      </c>
      <c r="K21" s="62">
        <v>6703550000</v>
      </c>
      <c r="L21" s="59">
        <v>14000000</v>
      </c>
      <c r="M21" s="59">
        <v>0</v>
      </c>
      <c r="N21" s="163">
        <v>14000000</v>
      </c>
      <c r="O21" s="59">
        <v>12300000</v>
      </c>
      <c r="P21" s="59">
        <v>0</v>
      </c>
      <c r="Q21" s="163">
        <v>12300000</v>
      </c>
      <c r="R21" s="59">
        <v>8000000</v>
      </c>
      <c r="S21" s="59">
        <v>0</v>
      </c>
      <c r="T21" s="163">
        <v>8000000</v>
      </c>
      <c r="U21" s="152">
        <f t="shared" si="11"/>
        <v>6669250000</v>
      </c>
      <c r="W21" s="326">
        <f t="shared" si="0"/>
        <v>69828645.833333328</v>
      </c>
      <c r="Y21" s="157"/>
    </row>
    <row r="22" spans="1:25" ht="18.75" x14ac:dyDescent="0.25">
      <c r="A22" s="148" t="s">
        <v>151</v>
      </c>
      <c r="B22" s="149" t="e">
        <f>SUM(B20:B21)</f>
        <v>#REF!</v>
      </c>
      <c r="C22" s="149" t="e">
        <f t="shared" ref="C22:F22" si="20">SUM(C20:C21)</f>
        <v>#REF!</v>
      </c>
      <c r="D22" s="149" t="e">
        <f t="shared" si="20"/>
        <v>#REF!</v>
      </c>
      <c r="E22" s="149" t="e">
        <f t="shared" si="20"/>
        <v>#REF!</v>
      </c>
      <c r="F22" s="149" t="e">
        <f t="shared" si="20"/>
        <v>#REF!</v>
      </c>
      <c r="G22" s="149"/>
      <c r="H22" s="149"/>
      <c r="I22" s="149">
        <f>SUM(I20:I21)</f>
        <v>5953650000</v>
      </c>
      <c r="J22" s="149">
        <f t="shared" ref="J22:R22" si="21">SUM(J20:J21)</f>
        <v>1065200000</v>
      </c>
      <c r="K22" s="150">
        <f>SUM(K20:K21)</f>
        <v>7018850000</v>
      </c>
      <c r="L22" s="149">
        <f t="shared" si="21"/>
        <v>31400000</v>
      </c>
      <c r="M22" s="149">
        <f t="shared" si="21"/>
        <v>0</v>
      </c>
      <c r="N22" s="283">
        <f t="shared" si="21"/>
        <v>31400000</v>
      </c>
      <c r="O22" s="149">
        <f t="shared" si="21"/>
        <v>125300000</v>
      </c>
      <c r="P22" s="149">
        <f t="shared" si="21"/>
        <v>0</v>
      </c>
      <c r="Q22" s="283">
        <f t="shared" si="21"/>
        <v>125300000</v>
      </c>
      <c r="R22" s="149">
        <f t="shared" si="21"/>
        <v>17600000</v>
      </c>
      <c r="S22" s="149">
        <f>SUM(S20:S21)</f>
        <v>0</v>
      </c>
      <c r="T22" s="283">
        <f t="shared" ref="T22" si="22">SUM(T20:T21)</f>
        <v>17600000</v>
      </c>
      <c r="U22" s="151">
        <f t="shared" si="11"/>
        <v>6844550000</v>
      </c>
      <c r="V22" s="153">
        <f>U22/K22</f>
        <v>0.97516687206593677</v>
      </c>
      <c r="W22" s="327">
        <f t="shared" si="0"/>
        <v>73113020.833333328</v>
      </c>
      <c r="Y22" s="157"/>
    </row>
    <row r="23" spans="1:25" ht="30" x14ac:dyDescent="0.25">
      <c r="A23" s="147" t="s">
        <v>236</v>
      </c>
      <c r="B23" s="59" t="e">
        <f>#REF!</f>
        <v>#REF!</v>
      </c>
      <c r="C23" s="59" t="e">
        <f>#REF!</f>
        <v>#REF!</v>
      </c>
      <c r="D23" s="59" t="e">
        <f>#REF!</f>
        <v>#REF!</v>
      </c>
      <c r="E23" s="59" t="e">
        <f>#REF!</f>
        <v>#REF!</v>
      </c>
      <c r="F23" s="59" t="e">
        <f>#REF!</f>
        <v>#REF!</v>
      </c>
      <c r="G23" s="59">
        <v>2026</v>
      </c>
      <c r="H23" s="59">
        <v>2030</v>
      </c>
      <c r="I23" s="59">
        <v>11500000</v>
      </c>
      <c r="J23" s="59">
        <v>0</v>
      </c>
      <c r="K23" s="62">
        <v>11500000</v>
      </c>
      <c r="L23" s="59">
        <v>0</v>
      </c>
      <c r="M23" s="59">
        <v>0</v>
      </c>
      <c r="N23" s="163">
        <v>0</v>
      </c>
      <c r="O23" s="59">
        <v>7500000</v>
      </c>
      <c r="P23" s="59">
        <v>0</v>
      </c>
      <c r="Q23" s="163">
        <v>7500000</v>
      </c>
      <c r="R23" s="59">
        <v>0</v>
      </c>
      <c r="S23" s="59">
        <v>0</v>
      </c>
      <c r="T23" s="163">
        <v>0</v>
      </c>
      <c r="U23" s="152">
        <f t="shared" si="11"/>
        <v>4000000</v>
      </c>
      <c r="W23" s="326">
        <f t="shared" si="0"/>
        <v>119791.66666666667</v>
      </c>
      <c r="Y23" s="157"/>
    </row>
    <row r="24" spans="1:25" ht="30" x14ac:dyDescent="0.25">
      <c r="A24" s="146" t="s">
        <v>237</v>
      </c>
      <c r="B24" s="59" t="e">
        <f>#REF!</f>
        <v>#REF!</v>
      </c>
      <c r="C24" s="59" t="e">
        <f>#REF!</f>
        <v>#REF!</v>
      </c>
      <c r="D24" s="59" t="e">
        <f>#REF!</f>
        <v>#REF!</v>
      </c>
      <c r="E24" s="59" t="e">
        <f>#REF!</f>
        <v>#REF!</v>
      </c>
      <c r="F24" s="59" t="e">
        <f>#REF!</f>
        <v>#REF!</v>
      </c>
      <c r="G24" s="59">
        <v>2026</v>
      </c>
      <c r="H24" s="59">
        <v>2030</v>
      </c>
      <c r="I24" s="59">
        <v>432400000.00000006</v>
      </c>
      <c r="J24" s="59">
        <v>640461219.51219511</v>
      </c>
      <c r="K24" s="62">
        <v>1072861219.5121951</v>
      </c>
      <c r="L24" s="59">
        <v>221052631.57894737</v>
      </c>
      <c r="M24" s="59">
        <v>380370731.70731705</v>
      </c>
      <c r="N24" s="163">
        <v>601423363.28626442</v>
      </c>
      <c r="O24" s="59">
        <v>0</v>
      </c>
      <c r="P24" s="59">
        <v>0</v>
      </c>
      <c r="Q24" s="163">
        <v>0</v>
      </c>
      <c r="R24" s="59">
        <v>147368421.05263159</v>
      </c>
      <c r="S24" s="59">
        <v>256940487.80487806</v>
      </c>
      <c r="T24" s="163">
        <v>404308908.85750967</v>
      </c>
      <c r="U24" s="152">
        <f t="shared" si="11"/>
        <v>67128947.368421018</v>
      </c>
      <c r="W24" s="326">
        <f t="shared" si="0"/>
        <v>11175637.703252032</v>
      </c>
      <c r="Y24" s="157"/>
    </row>
    <row r="25" spans="1:25" ht="18.75" x14ac:dyDescent="0.25">
      <c r="A25" s="148" t="s">
        <v>152</v>
      </c>
      <c r="B25" s="149" t="e">
        <f>SUM(B23:B24)</f>
        <v>#REF!</v>
      </c>
      <c r="C25" s="149" t="e">
        <f t="shared" ref="C25:F25" si="23">SUM(C23:C24)</f>
        <v>#REF!</v>
      </c>
      <c r="D25" s="149" t="e">
        <f t="shared" si="23"/>
        <v>#REF!</v>
      </c>
      <c r="E25" s="149" t="e">
        <f t="shared" si="23"/>
        <v>#REF!</v>
      </c>
      <c r="F25" s="149" t="e">
        <f t="shared" si="23"/>
        <v>#REF!</v>
      </c>
      <c r="G25" s="149"/>
      <c r="H25" s="149"/>
      <c r="I25" s="149">
        <f>SUM(I23:I24)</f>
        <v>443900000.00000006</v>
      </c>
      <c r="J25" s="149">
        <f t="shared" ref="J25:T25" si="24">SUM(J23:J24)</f>
        <v>640461219.51219511</v>
      </c>
      <c r="K25" s="150">
        <f>SUM(K23:K24)</f>
        <v>1084361219.5121951</v>
      </c>
      <c r="L25" s="149">
        <f t="shared" si="24"/>
        <v>221052631.57894737</v>
      </c>
      <c r="M25" s="149">
        <f t="shared" si="24"/>
        <v>380370731.70731705</v>
      </c>
      <c r="N25" s="283">
        <f t="shared" si="24"/>
        <v>601423363.28626442</v>
      </c>
      <c r="O25" s="149">
        <f t="shared" si="24"/>
        <v>7500000</v>
      </c>
      <c r="P25" s="149">
        <f t="shared" si="24"/>
        <v>0</v>
      </c>
      <c r="Q25" s="283">
        <f t="shared" si="24"/>
        <v>7500000</v>
      </c>
      <c r="R25" s="149">
        <f t="shared" si="24"/>
        <v>147368421.05263159</v>
      </c>
      <c r="S25" s="149">
        <f t="shared" si="24"/>
        <v>256940487.80487806</v>
      </c>
      <c r="T25" s="283">
        <f t="shared" si="24"/>
        <v>404308908.85750967</v>
      </c>
      <c r="U25" s="151">
        <f t="shared" si="11"/>
        <v>71128947.368421018</v>
      </c>
      <c r="V25" s="153">
        <f>U25/K25</f>
        <v>6.5595251922065875E-2</v>
      </c>
      <c r="W25" s="327">
        <f t="shared" si="0"/>
        <v>11295429.369918698</v>
      </c>
      <c r="Y25" s="157"/>
    </row>
    <row r="26" spans="1:25" ht="18.75" x14ac:dyDescent="0.25">
      <c r="A26" s="161" t="s">
        <v>238</v>
      </c>
      <c r="B26" s="162">
        <f>'Kostimi i planit te veprimit'!G69</f>
        <v>4800000</v>
      </c>
      <c r="C26" s="162">
        <f>'Kostimi i planit te veprimit'!J69</f>
        <v>1920000</v>
      </c>
      <c r="D26" s="162">
        <f>'Kostimi i planit te veprimit'!M69</f>
        <v>11520000</v>
      </c>
      <c r="E26" s="162">
        <f>'Kostimi i planit te veprimit'!P69</f>
        <v>1920000</v>
      </c>
      <c r="F26" s="162">
        <f>'Kostimi i planit te veprimit'!S69</f>
        <v>11520000</v>
      </c>
      <c r="G26" s="162"/>
      <c r="H26" s="162"/>
      <c r="I26" s="162">
        <v>31680000</v>
      </c>
      <c r="J26" s="162">
        <v>0</v>
      </c>
      <c r="K26" s="163">
        <v>31680000</v>
      </c>
      <c r="L26" s="162"/>
      <c r="M26" s="162"/>
      <c r="N26" s="163">
        <v>0</v>
      </c>
      <c r="O26" s="162">
        <v>31680000</v>
      </c>
      <c r="P26" s="162">
        <v>0</v>
      </c>
      <c r="Q26" s="163">
        <f>'Kostimi i planit te veprimit'!AD69</f>
        <v>31680000</v>
      </c>
      <c r="R26" s="162"/>
      <c r="S26" s="162"/>
      <c r="T26" s="163"/>
      <c r="U26" s="164">
        <f t="shared" ref="U26" si="25">K26-N26-Q26</f>
        <v>0</v>
      </c>
      <c r="W26" s="326">
        <f t="shared" si="0"/>
        <v>330000</v>
      </c>
      <c r="Y26" s="157"/>
    </row>
    <row r="27" spans="1:25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W27" s="325"/>
      <c r="Y27" s="157"/>
    </row>
    <row r="28" spans="1:25" ht="18.75" x14ac:dyDescent="0.25">
      <c r="A28" s="60" t="s">
        <v>153</v>
      </c>
      <c r="B28" s="61" t="e">
        <f>B10+B13+B16+B19+B22+B25+B26</f>
        <v>#REF!</v>
      </c>
      <c r="C28" s="61" t="e">
        <f t="shared" ref="C28:E28" si="26">C10+C13+C16+C19+C22+C25+C26</f>
        <v>#REF!</v>
      </c>
      <c r="D28" s="61" t="e">
        <f t="shared" si="26"/>
        <v>#REF!</v>
      </c>
      <c r="E28" s="61" t="e">
        <f t="shared" si="26"/>
        <v>#REF!</v>
      </c>
      <c r="F28" s="61" t="e">
        <f>F10+F13+F16+F19+F22+F25+F26</f>
        <v>#REF!</v>
      </c>
      <c r="G28" s="61"/>
      <c r="H28" s="61"/>
      <c r="I28" s="61">
        <f t="shared" ref="I28" si="27">I10+I13+I16+I19+I22+I25+I26</f>
        <v>46854009078.210258</v>
      </c>
      <c r="J28" s="61">
        <f>J10+J13+J16+J19+J22+J25+J26</f>
        <v>3510433739.5121951</v>
      </c>
      <c r="K28" s="63">
        <f>K10+K13+K16+K19+K22+K25+K26</f>
        <v>50364442817.72245</v>
      </c>
      <c r="L28" s="290">
        <f>L10+L13+L16+L19+L22+L25+L26</f>
        <v>15833793412.158434</v>
      </c>
      <c r="M28" s="290">
        <f>M10+M13+M16+M19+M22+M25+M26</f>
        <v>1131237291.7073171</v>
      </c>
      <c r="N28" s="286">
        <f>N10+N13+N16+N19+N22+N25+N26</f>
        <v>16965030703.865751</v>
      </c>
      <c r="O28" s="291">
        <f t="shared" ref="O28:P28" si="28">O10+O13+O16+O19+O22+O25+O26</f>
        <v>1929489000</v>
      </c>
      <c r="P28" s="291">
        <f t="shared" si="28"/>
        <v>267330000</v>
      </c>
      <c r="Q28" s="286">
        <f>Q10+Q13+Q16+Q19+Q22+Q25+Q26</f>
        <v>2196819000</v>
      </c>
      <c r="R28" s="289">
        <f>R10+R13+R19+R22+R25+R26</f>
        <v>15678115468.683401</v>
      </c>
      <c r="S28" s="289">
        <f>S10+S13+S19+S22+S25+S26</f>
        <v>803983947.804878</v>
      </c>
      <c r="T28" s="288">
        <f>T10+T13+T19+T22+T25+T26+T16</f>
        <v>21802099416.488281</v>
      </c>
      <c r="U28" s="151">
        <f>U10+U16+U19+U22+U25</f>
        <v>9400493697.3684235</v>
      </c>
      <c r="V28" s="153">
        <f>U28/K28</f>
        <v>0.18664941318601341</v>
      </c>
      <c r="W28" s="327">
        <f>K28/96</f>
        <v>524629612.68460888</v>
      </c>
      <c r="Y28" s="157"/>
    </row>
    <row r="29" spans="1:25" ht="18.75" x14ac:dyDescent="0.25">
      <c r="A29" s="60" t="s">
        <v>19</v>
      </c>
      <c r="B29" s="61"/>
      <c r="C29" s="61"/>
      <c r="D29" s="61"/>
      <c r="E29" s="61"/>
      <c r="F29" s="61"/>
      <c r="G29" s="61"/>
      <c r="H29" s="61"/>
      <c r="I29" s="287">
        <f>I28/K28</f>
        <v>0.9302993631396449</v>
      </c>
      <c r="J29" s="287">
        <f>J28/K28</f>
        <v>6.9700636860355158E-2</v>
      </c>
      <c r="K29" s="112">
        <v>1</v>
      </c>
      <c r="L29" s="287">
        <f>L28/I28</f>
        <v>0.33793892398253783</v>
      </c>
      <c r="M29" s="287">
        <f>M28/J28</f>
        <v>0.32225000545502741</v>
      </c>
      <c r="N29" s="287">
        <f>N28/$K28</f>
        <v>0.33684539636952016</v>
      </c>
      <c r="O29" s="287">
        <f>O28/I28</f>
        <v>4.1180873055691632E-2</v>
      </c>
      <c r="P29" s="287">
        <f>P28/J28</f>
        <v>7.6152982747125661E-2</v>
      </c>
      <c r="Q29" s="287">
        <f>Q28/K28</f>
        <v>4.3618451373534789E-2</v>
      </c>
      <c r="R29" s="111"/>
      <c r="S29" s="111"/>
      <c r="T29" s="111"/>
      <c r="U29" s="328">
        <f>U28/K28</f>
        <v>0.18664941318601341</v>
      </c>
      <c r="W29" s="325"/>
      <c r="Y29" s="159"/>
    </row>
    <row r="31" spans="1:25" x14ac:dyDescent="0.25">
      <c r="B31" s="157" t="e">
        <f>B28+C28+D28</f>
        <v>#REF!</v>
      </c>
    </row>
    <row r="33" spans="2:15" x14ac:dyDescent="0.25">
      <c r="B33" t="e">
        <f>B31/K28</f>
        <v>#REF!</v>
      </c>
      <c r="C33" s="157" t="s">
        <v>168</v>
      </c>
    </row>
    <row r="34" spans="2:15" x14ac:dyDescent="0.25">
      <c r="M34" s="157"/>
      <c r="N34" s="157"/>
    </row>
    <row r="35" spans="2:15" x14ac:dyDescent="0.25">
      <c r="O35" s="157"/>
    </row>
    <row r="36" spans="2:15" x14ac:dyDescent="0.25">
      <c r="O36" s="157"/>
    </row>
  </sheetData>
  <mergeCells count="10">
    <mergeCell ref="W1:W2"/>
    <mergeCell ref="U1:U3"/>
    <mergeCell ref="A1:A3"/>
    <mergeCell ref="L2:N2"/>
    <mergeCell ref="O2:Q2"/>
    <mergeCell ref="L1:Q1"/>
    <mergeCell ref="R1:T1"/>
    <mergeCell ref="R2:T2"/>
    <mergeCell ref="I1:K2"/>
    <mergeCell ref="G2:H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6E86-1EAF-6948-A9BA-F45A0E3B0C5E}">
  <dimension ref="A1:AL223"/>
  <sheetViews>
    <sheetView zoomScale="82" zoomScaleNormal="70" workbookViewId="0">
      <pane xSplit="2" ySplit="4" topLeftCell="T69" activePane="bottomRight" state="frozenSplit"/>
      <selection pane="topRight" activeCell="B1" sqref="B1"/>
      <selection pane="bottomLeft" activeCell="A8" sqref="A8"/>
      <selection pane="bottomRight" activeCell="G223" sqref="G223"/>
    </sheetView>
  </sheetViews>
  <sheetFormatPr defaultColWidth="8.85546875" defaultRowHeight="15" x14ac:dyDescent="0.25"/>
  <cols>
    <col min="1" max="1" width="8.85546875" style="1"/>
    <col min="2" max="2" width="70.140625" style="1" bestFit="1" customWidth="1"/>
    <col min="3" max="3" width="17" style="1" bestFit="1" customWidth="1"/>
    <col min="4" max="4" width="16.85546875" style="2" hidden="1" customWidth="1"/>
    <col min="5" max="5" width="18.42578125" style="2" customWidth="1"/>
    <col min="6" max="6" width="16.85546875" style="2" customWidth="1"/>
    <col min="7" max="7" width="18.42578125" style="2" customWidth="1"/>
    <col min="8" max="8" width="19" style="2" customWidth="1"/>
    <col min="9" max="9" width="17.28515625" style="2" customWidth="1"/>
    <col min="10" max="10" width="18.42578125" style="2" customWidth="1"/>
    <col min="11" max="12" width="18.140625" style="2" customWidth="1"/>
    <col min="13" max="13" width="18.85546875" style="2" customWidth="1"/>
    <col min="14" max="14" width="18.7109375" style="2" customWidth="1"/>
    <col min="15" max="15" width="16.42578125" style="2" customWidth="1"/>
    <col min="16" max="16" width="17.5703125" style="2" customWidth="1"/>
    <col min="17" max="17" width="16.7109375" style="2" customWidth="1"/>
    <col min="18" max="18" width="16.5703125" style="2" customWidth="1"/>
    <col min="19" max="19" width="17.42578125" style="2" customWidth="1"/>
    <col min="20" max="20" width="5.42578125" style="2" bestFit="1" customWidth="1"/>
    <col min="21" max="21" width="21.28515625" style="2" customWidth="1"/>
    <col min="22" max="22" width="18.42578125" style="2" customWidth="1"/>
    <col min="23" max="23" width="19.42578125" style="2" bestFit="1" customWidth="1"/>
    <col min="24" max="25" width="19.42578125" style="2" customWidth="1"/>
    <col min="26" max="26" width="17" style="1" bestFit="1" customWidth="1"/>
    <col min="27" max="27" width="17.42578125" style="1" customWidth="1"/>
    <col min="28" max="28" width="15.85546875" style="1" bestFit="1" customWidth="1"/>
    <col min="29" max="29" width="14.28515625" style="1" hidden="1" customWidth="1"/>
    <col min="30" max="30" width="18" style="1" customWidth="1"/>
    <col min="31" max="31" width="17" style="1" bestFit="1" customWidth="1"/>
    <col min="32" max="32" width="16.7109375" style="1" customWidth="1"/>
    <col min="33" max="33" width="17" style="1" bestFit="1" customWidth="1"/>
    <col min="34" max="34" width="2.140625" customWidth="1"/>
    <col min="35" max="35" width="19" style="1" customWidth="1"/>
    <col min="36" max="36" width="18.7109375" style="1" hidden="1" customWidth="1"/>
    <col min="37" max="37" width="0" style="1" hidden="1" customWidth="1"/>
    <col min="38" max="38" width="15.85546875" style="1" hidden="1" customWidth="1"/>
    <col min="39" max="16384" width="8.85546875" style="1"/>
  </cols>
  <sheetData>
    <row r="1" spans="1:38" ht="43.35" customHeight="1" thickBot="1" x14ac:dyDescent="0.3">
      <c r="A1" s="50"/>
      <c r="B1" s="337" t="s">
        <v>20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8"/>
      <c r="Y1" s="338"/>
      <c r="Z1" s="338"/>
      <c r="AA1" s="339"/>
      <c r="AB1" s="174"/>
      <c r="AC1" s="65"/>
      <c r="AD1" s="65"/>
      <c r="AE1" s="65"/>
      <c r="AF1" s="65"/>
      <c r="AG1" s="65"/>
      <c r="AI1" s="65"/>
    </row>
    <row r="2" spans="1:38" ht="27" customHeight="1" x14ac:dyDescent="0.25">
      <c r="A2" s="50"/>
      <c r="B2" s="340" t="s">
        <v>326</v>
      </c>
      <c r="C2" s="375" t="s">
        <v>3</v>
      </c>
      <c r="D2" s="343" t="s">
        <v>0</v>
      </c>
      <c r="E2" s="354" t="s">
        <v>240</v>
      </c>
      <c r="F2" s="355"/>
      <c r="G2" s="356"/>
      <c r="H2" s="357" t="s">
        <v>241</v>
      </c>
      <c r="I2" s="358"/>
      <c r="J2" s="359"/>
      <c r="K2" s="354" t="s">
        <v>242</v>
      </c>
      <c r="L2" s="355"/>
      <c r="M2" s="356"/>
      <c r="N2" s="354" t="s">
        <v>243</v>
      </c>
      <c r="O2" s="355"/>
      <c r="P2" s="356"/>
      <c r="Q2" s="354" t="s">
        <v>244</v>
      </c>
      <c r="R2" s="355"/>
      <c r="S2" s="356"/>
      <c r="T2" s="10"/>
      <c r="U2" s="346" t="s">
        <v>247</v>
      </c>
      <c r="V2" s="347"/>
      <c r="W2" s="347"/>
      <c r="X2" s="361" t="s">
        <v>1</v>
      </c>
      <c r="Y2" s="362"/>
      <c r="Z2" s="362"/>
      <c r="AA2" s="362"/>
      <c r="AB2" s="362"/>
      <c r="AC2" s="362"/>
      <c r="AD2" s="362"/>
      <c r="AE2" s="362"/>
      <c r="AF2" s="362"/>
      <c r="AG2" s="363"/>
      <c r="AH2" s="1"/>
      <c r="AJ2" s="315" t="s">
        <v>18</v>
      </c>
    </row>
    <row r="3" spans="1:38" ht="27" customHeight="1" x14ac:dyDescent="0.25">
      <c r="A3" s="50"/>
      <c r="B3" s="341"/>
      <c r="C3" s="376"/>
      <c r="D3" s="344"/>
      <c r="E3" s="167"/>
      <c r="F3" s="168"/>
      <c r="G3" s="10"/>
      <c r="H3" s="169"/>
      <c r="I3" s="170"/>
      <c r="J3" s="8"/>
      <c r="K3" s="167"/>
      <c r="L3" s="168"/>
      <c r="M3" s="10"/>
      <c r="N3" s="167"/>
      <c r="O3" s="168"/>
      <c r="P3" s="10"/>
      <c r="Q3" s="167"/>
      <c r="R3" s="168"/>
      <c r="S3" s="10"/>
      <c r="T3" s="173"/>
      <c r="U3" s="171"/>
      <c r="V3" s="172"/>
      <c r="W3" s="172"/>
      <c r="X3" s="348" t="s">
        <v>248</v>
      </c>
      <c r="Y3" s="349"/>
      <c r="Z3" s="350"/>
      <c r="AA3" s="351" t="s">
        <v>249</v>
      </c>
      <c r="AB3" s="352"/>
      <c r="AC3" s="352"/>
      <c r="AD3" s="353"/>
      <c r="AE3" s="349" t="s">
        <v>252</v>
      </c>
      <c r="AF3" s="349"/>
      <c r="AG3" s="360"/>
      <c r="AH3" s="1"/>
    </row>
    <row r="4" spans="1:38" ht="45.75" thickBot="1" x14ac:dyDescent="0.3">
      <c r="A4" s="50"/>
      <c r="B4" s="342"/>
      <c r="C4" s="377"/>
      <c r="D4" s="345"/>
      <c r="E4" s="7" t="s">
        <v>245</v>
      </c>
      <c r="F4" s="7" t="s">
        <v>246</v>
      </c>
      <c r="G4" s="7" t="s">
        <v>5</v>
      </c>
      <c r="H4" s="7" t="s">
        <v>245</v>
      </c>
      <c r="I4" s="7" t="s">
        <v>246</v>
      </c>
      <c r="J4" s="7" t="s">
        <v>5</v>
      </c>
      <c r="K4" s="7" t="s">
        <v>245</v>
      </c>
      <c r="L4" s="7" t="s">
        <v>246</v>
      </c>
      <c r="M4" s="7" t="s">
        <v>5</v>
      </c>
      <c r="N4" s="7" t="s">
        <v>245</v>
      </c>
      <c r="O4" s="7" t="s">
        <v>246</v>
      </c>
      <c r="P4" s="7" t="s">
        <v>5</v>
      </c>
      <c r="Q4" s="7" t="s">
        <v>245</v>
      </c>
      <c r="R4" s="7" t="s">
        <v>246</v>
      </c>
      <c r="S4" s="7" t="s">
        <v>5</v>
      </c>
      <c r="T4" s="11"/>
      <c r="U4" s="7" t="s">
        <v>245</v>
      </c>
      <c r="V4" s="7" t="s">
        <v>246</v>
      </c>
      <c r="W4" s="169" t="s">
        <v>5</v>
      </c>
      <c r="X4" s="177" t="s">
        <v>245</v>
      </c>
      <c r="Y4" s="178" t="s">
        <v>246</v>
      </c>
      <c r="Z4" s="178" t="s">
        <v>5</v>
      </c>
      <c r="AA4" s="179" t="s">
        <v>245</v>
      </c>
      <c r="AB4" s="179" t="s">
        <v>246</v>
      </c>
      <c r="AC4" s="180" t="s">
        <v>250</v>
      </c>
      <c r="AD4" s="181" t="s">
        <v>251</v>
      </c>
      <c r="AE4" s="182" t="s">
        <v>245</v>
      </c>
      <c r="AF4" s="178" t="s">
        <v>246</v>
      </c>
      <c r="AG4" s="183" t="s">
        <v>5</v>
      </c>
      <c r="AH4" s="1"/>
      <c r="AI4" s="183" t="s">
        <v>2</v>
      </c>
    </row>
    <row r="5" spans="1:38" ht="18.75" x14ac:dyDescent="0.25">
      <c r="A5" s="51"/>
      <c r="B5" s="368" t="s">
        <v>25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78"/>
      <c r="Y5" s="378"/>
      <c r="Z5" s="378"/>
      <c r="AA5" s="378"/>
      <c r="AB5" s="379"/>
      <c r="AC5" s="175"/>
      <c r="AD5" s="176"/>
      <c r="AE5" s="176"/>
      <c r="AF5" s="176"/>
      <c r="AG5" s="176"/>
      <c r="AH5" s="1"/>
      <c r="AI5" s="72"/>
      <c r="AJ5" s="316"/>
    </row>
    <row r="6" spans="1:38" ht="18.75" x14ac:dyDescent="0.25">
      <c r="A6" s="52"/>
      <c r="B6" s="380" t="s">
        <v>262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1"/>
      <c r="T6" s="39"/>
      <c r="U6" s="39"/>
      <c r="V6" s="39"/>
      <c r="W6" s="188"/>
      <c r="X6" s="17"/>
      <c r="Y6" s="39"/>
      <c r="Z6" s="205"/>
      <c r="AA6" s="17"/>
      <c r="AB6" s="39"/>
      <c r="AC6" s="39"/>
      <c r="AD6" s="188"/>
      <c r="AE6" s="17"/>
      <c r="AF6" s="39"/>
      <c r="AG6" s="39"/>
      <c r="AH6" s="1"/>
      <c r="AI6" s="39"/>
      <c r="AJ6" s="317"/>
      <c r="AL6" s="23"/>
    </row>
    <row r="7" spans="1:38" ht="31.5" x14ac:dyDescent="0.25">
      <c r="A7" s="374" t="s">
        <v>4</v>
      </c>
      <c r="B7" s="115" t="s">
        <v>239</v>
      </c>
      <c r="C7" s="36"/>
      <c r="D7" s="37"/>
      <c r="E7" s="37"/>
      <c r="F7" s="3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86"/>
      <c r="U7" s="86"/>
      <c r="V7" s="86"/>
      <c r="W7" s="189"/>
      <c r="X7" s="41"/>
      <c r="Y7" s="71"/>
      <c r="Z7" s="202"/>
      <c r="AA7" s="41"/>
      <c r="AB7" s="71"/>
      <c r="AC7" s="71"/>
      <c r="AD7" s="189"/>
      <c r="AE7" s="41"/>
      <c r="AF7" s="71"/>
      <c r="AG7" s="71"/>
      <c r="AH7" s="1"/>
      <c r="AI7" s="71"/>
      <c r="AJ7" s="318"/>
    </row>
    <row r="8" spans="1:38" ht="15.75" x14ac:dyDescent="0.25">
      <c r="A8" s="374"/>
      <c r="B8" s="114" t="s">
        <v>21</v>
      </c>
      <c r="C8" s="154" t="s">
        <v>255</v>
      </c>
      <c r="D8" s="12"/>
      <c r="E8" s="12"/>
      <c r="F8" s="12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6"/>
      <c r="U8" s="14">
        <f>E8+H8+K8+N8+Q8</f>
        <v>0</v>
      </c>
      <c r="V8" s="14">
        <f t="shared" ref="V8:W12" si="0">F8+I8+L8+O8+R8</f>
        <v>0</v>
      </c>
      <c r="W8" s="190">
        <f t="shared" si="0"/>
        <v>0</v>
      </c>
      <c r="X8" s="129">
        <v>0</v>
      </c>
      <c r="Y8" s="130"/>
      <c r="Z8" s="203">
        <v>0</v>
      </c>
      <c r="AA8" s="76">
        <v>0</v>
      </c>
      <c r="AB8" s="20"/>
      <c r="AC8" s="20"/>
      <c r="AD8" s="198">
        <f t="shared" ref="AD8:AD11" si="1">AA8+AB8</f>
        <v>0</v>
      </c>
      <c r="AE8" s="76"/>
      <c r="AF8" s="20"/>
      <c r="AG8" s="20"/>
      <c r="AH8" s="1"/>
      <c r="AI8" s="20">
        <f t="shared" ref="AI8:AI11" si="2">W8-Z8-AD8-AG8</f>
        <v>0</v>
      </c>
      <c r="AJ8" s="319">
        <f>W8/96</f>
        <v>0</v>
      </c>
      <c r="AL8" s="1" t="str">
        <f t="shared" ref="AL8:AL39" si="3">IF((AI8+AD8+Z8+AG8)=W8,"OK","Error")</f>
        <v>OK</v>
      </c>
    </row>
    <row r="9" spans="1:38" ht="15.75" x14ac:dyDescent="0.25">
      <c r="A9" s="374"/>
      <c r="B9" s="114" t="s">
        <v>22</v>
      </c>
      <c r="C9" s="154" t="s">
        <v>255</v>
      </c>
      <c r="D9" s="12"/>
      <c r="E9" s="21">
        <f>50000*50</f>
        <v>2500000</v>
      </c>
      <c r="F9" s="12"/>
      <c r="G9" s="21">
        <f>50000*50</f>
        <v>2500000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6"/>
      <c r="U9" s="14">
        <f t="shared" ref="U9:U12" si="4">E9+H9+K9+N9+Q9</f>
        <v>2500000</v>
      </c>
      <c r="V9" s="14">
        <f t="shared" si="0"/>
        <v>0</v>
      </c>
      <c r="W9" s="190">
        <f t="shared" si="0"/>
        <v>2500000</v>
      </c>
      <c r="X9" s="129"/>
      <c r="Y9" s="130"/>
      <c r="Z9" s="203">
        <v>0</v>
      </c>
      <c r="AA9" s="76">
        <f>W9</f>
        <v>2500000</v>
      </c>
      <c r="AB9" s="20"/>
      <c r="AC9" s="20"/>
      <c r="AD9" s="198">
        <f>W9</f>
        <v>2500000</v>
      </c>
      <c r="AE9" s="76"/>
      <c r="AF9" s="20"/>
      <c r="AG9" s="20"/>
      <c r="AH9" s="1"/>
      <c r="AI9" s="20">
        <f t="shared" si="2"/>
        <v>0</v>
      </c>
      <c r="AJ9" s="319">
        <f t="shared" ref="AJ9:AJ71" si="5">W9/96</f>
        <v>26041.666666666668</v>
      </c>
      <c r="AL9" s="1" t="str">
        <f t="shared" si="3"/>
        <v>OK</v>
      </c>
    </row>
    <row r="10" spans="1:38" ht="15.75" x14ac:dyDescent="0.25">
      <c r="A10" s="374"/>
      <c r="B10" s="138" t="s">
        <v>154</v>
      </c>
      <c r="C10" s="154" t="s">
        <v>255</v>
      </c>
      <c r="D10" s="12"/>
      <c r="E10" s="21"/>
      <c r="F10" s="12"/>
      <c r="G10" s="21"/>
      <c r="H10" s="21"/>
      <c r="I10" s="21"/>
      <c r="J10" s="21"/>
      <c r="K10" s="21">
        <v>1927446153.8461537</v>
      </c>
      <c r="L10" s="21"/>
      <c r="M10" s="21">
        <v>1927446153.8461537</v>
      </c>
      <c r="N10" s="21">
        <v>3854892307.6923075</v>
      </c>
      <c r="O10" s="21"/>
      <c r="P10" s="21">
        <v>3854892307.6923075</v>
      </c>
      <c r="Q10" s="21">
        <v>5782338461.5384617</v>
      </c>
      <c r="R10" s="21"/>
      <c r="S10" s="21">
        <v>5782338461.5384617</v>
      </c>
      <c r="T10" s="6"/>
      <c r="U10" s="14">
        <f t="shared" si="4"/>
        <v>11564676923.076923</v>
      </c>
      <c r="V10" s="14">
        <f t="shared" si="0"/>
        <v>0</v>
      </c>
      <c r="W10" s="190">
        <f t="shared" si="0"/>
        <v>11564676923.076923</v>
      </c>
      <c r="X10" s="129">
        <f>E10+H10+K10</f>
        <v>1927446153.8461537</v>
      </c>
      <c r="Y10" s="130">
        <f t="shared" ref="Y10:Z10" si="6">F10+I10+L10</f>
        <v>0</v>
      </c>
      <c r="Z10" s="203">
        <f t="shared" si="6"/>
        <v>1927446153.8461537</v>
      </c>
      <c r="AA10" s="76"/>
      <c r="AB10" s="20"/>
      <c r="AC10" s="20"/>
      <c r="AD10" s="198"/>
      <c r="AE10" s="31">
        <f>N10+Q10</f>
        <v>9637230769.2307701</v>
      </c>
      <c r="AF10" s="21">
        <f t="shared" ref="AF10:AG10" si="7">O10+R10</f>
        <v>0</v>
      </c>
      <c r="AG10" s="20">
        <f t="shared" si="7"/>
        <v>9637230769.2307701</v>
      </c>
      <c r="AH10" s="1"/>
      <c r="AI10" s="20">
        <f t="shared" si="2"/>
        <v>0</v>
      </c>
      <c r="AJ10" s="319">
        <f t="shared" si="5"/>
        <v>120465384.61538462</v>
      </c>
      <c r="AL10" s="1" t="str">
        <f t="shared" si="3"/>
        <v>OK</v>
      </c>
    </row>
    <row r="11" spans="1:38" ht="31.5" x14ac:dyDescent="0.25">
      <c r="A11" s="374"/>
      <c r="B11" s="114" t="s">
        <v>23</v>
      </c>
      <c r="C11" s="154" t="s">
        <v>255</v>
      </c>
      <c r="D11" s="4"/>
      <c r="E11" s="21">
        <v>1000000</v>
      </c>
      <c r="F11" s="4"/>
      <c r="G11" s="21">
        <v>1000000</v>
      </c>
      <c r="H11" s="21">
        <v>1000000</v>
      </c>
      <c r="I11" s="21"/>
      <c r="J11" s="21">
        <v>1000000</v>
      </c>
      <c r="K11" s="21">
        <v>600000</v>
      </c>
      <c r="L11" s="21"/>
      <c r="M11" s="21">
        <v>600000</v>
      </c>
      <c r="N11" s="21"/>
      <c r="O11" s="21"/>
      <c r="P11" s="21"/>
      <c r="Q11" s="21"/>
      <c r="R11" s="21"/>
      <c r="S11" s="21"/>
      <c r="T11" s="6"/>
      <c r="U11" s="14">
        <f t="shared" si="4"/>
        <v>2600000</v>
      </c>
      <c r="V11" s="14">
        <f t="shared" si="0"/>
        <v>0</v>
      </c>
      <c r="W11" s="190">
        <f t="shared" si="0"/>
        <v>2600000</v>
      </c>
      <c r="X11" s="129"/>
      <c r="Y11" s="130"/>
      <c r="Z11" s="203">
        <v>0</v>
      </c>
      <c r="AA11" s="76">
        <f>W11</f>
        <v>2600000</v>
      </c>
      <c r="AB11" s="20"/>
      <c r="AC11" s="20"/>
      <c r="AD11" s="199">
        <f t="shared" si="1"/>
        <v>2600000</v>
      </c>
      <c r="AE11" s="197"/>
      <c r="AF11" s="22"/>
      <c r="AG11" s="22"/>
      <c r="AH11" s="1"/>
      <c r="AI11" s="20">
        <f t="shared" si="2"/>
        <v>0</v>
      </c>
      <c r="AJ11" s="319">
        <f t="shared" si="5"/>
        <v>27083.333333333332</v>
      </c>
      <c r="AL11" s="1" t="str">
        <f t="shared" si="3"/>
        <v>OK</v>
      </c>
    </row>
    <row r="12" spans="1:38" ht="31.5" x14ac:dyDescent="0.25">
      <c r="A12" s="374"/>
      <c r="B12" s="114" t="s">
        <v>24</v>
      </c>
      <c r="C12" s="154" t="s">
        <v>255</v>
      </c>
      <c r="D12" s="4"/>
      <c r="E12" s="33"/>
      <c r="F12" s="4"/>
      <c r="G12" s="33"/>
      <c r="H12" s="33"/>
      <c r="I12" s="33"/>
      <c r="J12" s="33"/>
      <c r="K12" s="33"/>
      <c r="L12" s="33"/>
      <c r="M12" s="33"/>
      <c r="N12" s="21">
        <v>3000000</v>
      </c>
      <c r="O12" s="33"/>
      <c r="P12" s="21">
        <v>3000000</v>
      </c>
      <c r="Q12" s="33"/>
      <c r="R12" s="21"/>
      <c r="S12" s="33"/>
      <c r="T12" s="6"/>
      <c r="U12" s="14">
        <f t="shared" si="4"/>
        <v>3000000</v>
      </c>
      <c r="V12" s="14">
        <f t="shared" si="0"/>
        <v>0</v>
      </c>
      <c r="W12" s="190">
        <f t="shared" si="0"/>
        <v>3000000</v>
      </c>
      <c r="X12" s="129"/>
      <c r="Y12" s="130"/>
      <c r="Z12" s="203">
        <f>W12-(M12+P12+S12+J12-G12*4)</f>
        <v>0</v>
      </c>
      <c r="AA12" s="76">
        <f>W12</f>
        <v>3000000</v>
      </c>
      <c r="AB12" s="20"/>
      <c r="AC12" s="20"/>
      <c r="AD12" s="199">
        <f>W12</f>
        <v>3000000</v>
      </c>
      <c r="AE12" s="197"/>
      <c r="AF12" s="22"/>
      <c r="AG12" s="22"/>
      <c r="AH12" s="1"/>
      <c r="AI12" s="20">
        <f>W12-Z12-AD12-AG12</f>
        <v>0</v>
      </c>
      <c r="AJ12" s="319">
        <f t="shared" si="5"/>
        <v>31250</v>
      </c>
      <c r="AL12" s="1" t="str">
        <f t="shared" si="3"/>
        <v>OK</v>
      </c>
    </row>
    <row r="13" spans="1:38" ht="15.75" x14ac:dyDescent="0.25">
      <c r="A13" s="374"/>
      <c r="B13" s="109" t="s">
        <v>7</v>
      </c>
      <c r="C13" s="95"/>
      <c r="D13" s="96"/>
      <c r="E13" s="97">
        <f>SUM(E8:E12)</f>
        <v>3500000</v>
      </c>
      <c r="F13" s="97">
        <f t="shared" ref="F13:K13" si="8">SUM(F8:F12)</f>
        <v>0</v>
      </c>
      <c r="G13" s="97">
        <f t="shared" si="8"/>
        <v>3500000</v>
      </c>
      <c r="H13" s="97">
        <f t="shared" si="8"/>
        <v>1000000</v>
      </c>
      <c r="I13" s="97">
        <f t="shared" si="8"/>
        <v>0</v>
      </c>
      <c r="J13" s="97">
        <f t="shared" si="8"/>
        <v>1000000</v>
      </c>
      <c r="K13" s="97">
        <f t="shared" si="8"/>
        <v>1928046153.8461537</v>
      </c>
      <c r="L13" s="97">
        <f>SUM(L8:L12)</f>
        <v>0</v>
      </c>
      <c r="M13" s="97">
        <f t="shared" ref="M13" si="9">SUM(M8:M12)</f>
        <v>1928046153.8461537</v>
      </c>
      <c r="N13" s="97">
        <f t="shared" ref="N13" si="10">SUM(N8:N12)</f>
        <v>3857892307.6923075</v>
      </c>
      <c r="O13" s="97">
        <f t="shared" ref="O13" si="11">SUM(O8:O12)</f>
        <v>0</v>
      </c>
      <c r="P13" s="97">
        <f t="shared" ref="P13" si="12">SUM(P8:P12)</f>
        <v>3857892307.6923075</v>
      </c>
      <c r="Q13" s="97">
        <f t="shared" ref="Q13" si="13">SUM(Q8:Q12)</f>
        <v>5782338461.5384617</v>
      </c>
      <c r="R13" s="97">
        <f t="shared" ref="R13" si="14">SUM(R8:R12)</f>
        <v>0</v>
      </c>
      <c r="S13" s="97">
        <f>SUM(S8:S12)</f>
        <v>5782338461.5384617</v>
      </c>
      <c r="T13" s="97"/>
      <c r="U13" s="97">
        <f t="shared" ref="U13" si="15">SUM(U8:U12)</f>
        <v>11572776923.076923</v>
      </c>
      <c r="V13" s="97">
        <f t="shared" ref="V13" si="16">SUM(V8:V12)</f>
        <v>0</v>
      </c>
      <c r="W13" s="191">
        <f t="shared" ref="W13:Y13" si="17">SUM(W8:W12)</f>
        <v>11572776923.076923</v>
      </c>
      <c r="X13" s="97">
        <f t="shared" si="17"/>
        <v>1927446153.8461537</v>
      </c>
      <c r="Y13" s="97">
        <f t="shared" si="17"/>
        <v>0</v>
      </c>
      <c r="Z13" s="200">
        <f>SUM(Z8:Z12)</f>
        <v>1927446153.8461537</v>
      </c>
      <c r="AA13" s="97">
        <f t="shared" ref="AA13" si="18">SUM(AA8:AA12)</f>
        <v>8100000</v>
      </c>
      <c r="AB13" s="97">
        <f t="shared" ref="AB13" si="19">SUM(AB8:AB12)</f>
        <v>0</v>
      </c>
      <c r="AC13" s="97"/>
      <c r="AD13" s="191">
        <f t="shared" ref="AD13:AG13" si="20">SUM(AD8:AD12)</f>
        <v>8100000</v>
      </c>
      <c r="AE13" s="97">
        <f t="shared" si="20"/>
        <v>9637230769.2307701</v>
      </c>
      <c r="AF13" s="97">
        <f t="shared" si="20"/>
        <v>0</v>
      </c>
      <c r="AG13" s="97">
        <f t="shared" si="20"/>
        <v>9637230769.2307701</v>
      </c>
      <c r="AH13" s="1"/>
      <c r="AI13" s="97">
        <f>W13-Z13-AD13-AG13</f>
        <v>0</v>
      </c>
      <c r="AJ13" s="320">
        <f t="shared" si="5"/>
        <v>120549759.61538462</v>
      </c>
      <c r="AL13" s="1" t="str">
        <f t="shared" si="3"/>
        <v>OK</v>
      </c>
    </row>
    <row r="14" spans="1:38" ht="18.75" x14ac:dyDescent="0.25">
      <c r="A14" s="374"/>
      <c r="B14" s="371" t="s">
        <v>261</v>
      </c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3"/>
      <c r="T14" s="45"/>
      <c r="U14" s="45"/>
      <c r="V14" s="45"/>
      <c r="W14" s="192"/>
      <c r="X14" s="187"/>
      <c r="Y14" s="46"/>
      <c r="Z14" s="201"/>
      <c r="AA14" s="187"/>
      <c r="AB14" s="84"/>
      <c r="AC14" s="84"/>
      <c r="AD14" s="192"/>
      <c r="AE14" s="187"/>
      <c r="AF14" s="46"/>
      <c r="AG14" s="46"/>
      <c r="AH14" s="1"/>
      <c r="AI14" s="46"/>
      <c r="AJ14" s="321"/>
      <c r="AL14" s="1" t="str">
        <f t="shared" si="3"/>
        <v>OK</v>
      </c>
    </row>
    <row r="15" spans="1:38" ht="31.5" x14ac:dyDescent="0.25">
      <c r="A15" s="374"/>
      <c r="B15" s="115" t="s">
        <v>263</v>
      </c>
      <c r="C15" s="37"/>
      <c r="D15" s="87"/>
      <c r="E15" s="87"/>
      <c r="F15" s="87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6"/>
      <c r="U15" s="86"/>
      <c r="V15" s="86"/>
      <c r="W15" s="189"/>
      <c r="X15" s="41"/>
      <c r="Y15" s="71"/>
      <c r="Z15" s="206"/>
      <c r="AA15" s="92"/>
      <c r="AB15" s="68"/>
      <c r="AC15" s="68"/>
      <c r="AD15" s="189"/>
      <c r="AE15" s="41"/>
      <c r="AF15" s="71"/>
      <c r="AG15" s="71"/>
      <c r="AH15" s="1"/>
      <c r="AI15" s="71"/>
      <c r="AJ15" s="318">
        <f t="shared" si="5"/>
        <v>0</v>
      </c>
      <c r="AL15" s="1" t="str">
        <f t="shared" si="3"/>
        <v>OK</v>
      </c>
    </row>
    <row r="16" spans="1:38" ht="31.5" x14ac:dyDescent="0.25">
      <c r="A16" s="374"/>
      <c r="B16" s="114" t="s">
        <v>26</v>
      </c>
      <c r="C16" s="154" t="s">
        <v>255</v>
      </c>
      <c r="D16" s="9"/>
      <c r="E16" s="34">
        <f>20*90000+30*50000</f>
        <v>3300000</v>
      </c>
      <c r="F16" s="9"/>
      <c r="G16" s="34">
        <f>20*90000+30*50000</f>
        <v>3300000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6"/>
      <c r="U16" s="14">
        <f>E16+H16+K16+N16+Q16</f>
        <v>3300000</v>
      </c>
      <c r="V16" s="14">
        <f>F16+I16+L16+O16+R16</f>
        <v>0</v>
      </c>
      <c r="W16" s="190">
        <f>G16+J16+M16+P16+S16</f>
        <v>3300000</v>
      </c>
      <c r="X16" s="31">
        <v>0</v>
      </c>
      <c r="Y16" s="21">
        <f t="shared" ref="Y16:Z17" si="21">F16+I16+L16</f>
        <v>0</v>
      </c>
      <c r="Z16" s="207">
        <v>0</v>
      </c>
      <c r="AA16" s="31">
        <v>0</v>
      </c>
      <c r="AB16" s="21">
        <v>0</v>
      </c>
      <c r="AC16" s="21"/>
      <c r="AD16" s="198">
        <f t="shared" ref="AD16:AD17" si="22">AA16+AB16</f>
        <v>0</v>
      </c>
      <c r="AE16" s="31">
        <f>N16+Q16</f>
        <v>0</v>
      </c>
      <c r="AF16" s="21">
        <f t="shared" ref="AF16:AG17" si="23">O16+R16</f>
        <v>0</v>
      </c>
      <c r="AG16" s="20">
        <f t="shared" si="23"/>
        <v>0</v>
      </c>
      <c r="AH16" s="1"/>
      <c r="AI16" s="21">
        <f>W16-Z16-AD16-AG16</f>
        <v>3300000</v>
      </c>
      <c r="AJ16" s="322">
        <f t="shared" si="5"/>
        <v>34375</v>
      </c>
      <c r="AL16" s="1" t="str">
        <f t="shared" si="3"/>
        <v>OK</v>
      </c>
    </row>
    <row r="17" spans="1:38" ht="31.5" x14ac:dyDescent="0.25">
      <c r="A17" s="374"/>
      <c r="B17" s="114" t="s">
        <v>27</v>
      </c>
      <c r="C17" s="154" t="s">
        <v>255</v>
      </c>
      <c r="D17" s="9"/>
      <c r="E17" s="34">
        <v>488040000</v>
      </c>
      <c r="F17" s="9"/>
      <c r="G17" s="34">
        <v>488040000</v>
      </c>
      <c r="H17" s="34">
        <v>521360000</v>
      </c>
      <c r="I17" s="34"/>
      <c r="J17" s="34">
        <v>521360000</v>
      </c>
      <c r="K17" s="34">
        <v>552460000</v>
      </c>
      <c r="L17" s="34"/>
      <c r="M17" s="34">
        <v>552460000</v>
      </c>
      <c r="N17" s="34">
        <v>552460000</v>
      </c>
      <c r="O17" s="34"/>
      <c r="P17" s="34">
        <v>552460000</v>
      </c>
      <c r="Q17" s="34">
        <v>552460000</v>
      </c>
      <c r="R17" s="34"/>
      <c r="S17" s="34">
        <v>552460000</v>
      </c>
      <c r="T17" s="6"/>
      <c r="U17" s="14">
        <f t="shared" ref="U17:W17" si="24">E17+H17+K17+N17+Q17</f>
        <v>2666780000</v>
      </c>
      <c r="V17" s="14">
        <f t="shared" si="24"/>
        <v>0</v>
      </c>
      <c r="W17" s="190">
        <f t="shared" si="24"/>
        <v>2666780000</v>
      </c>
      <c r="X17" s="31">
        <f>E17+H17+K17</f>
        <v>1561860000</v>
      </c>
      <c r="Y17" s="21">
        <f t="shared" si="21"/>
        <v>0</v>
      </c>
      <c r="Z17" s="207">
        <f t="shared" si="21"/>
        <v>1561860000</v>
      </c>
      <c r="AA17" s="31">
        <v>0</v>
      </c>
      <c r="AB17" s="21">
        <v>0</v>
      </c>
      <c r="AC17" s="21"/>
      <c r="AD17" s="198">
        <f t="shared" si="22"/>
        <v>0</v>
      </c>
      <c r="AE17" s="31">
        <f>N17+Q17</f>
        <v>1104920000</v>
      </c>
      <c r="AF17" s="21">
        <f t="shared" si="23"/>
        <v>0</v>
      </c>
      <c r="AG17" s="20">
        <f t="shared" si="23"/>
        <v>1104920000</v>
      </c>
      <c r="AH17" s="1"/>
      <c r="AI17" s="21">
        <f>W17-Z17-AD17-AG17</f>
        <v>0</v>
      </c>
      <c r="AJ17" s="322">
        <f t="shared" si="5"/>
        <v>27778958.333333332</v>
      </c>
      <c r="AL17" s="1" t="str">
        <f t="shared" si="3"/>
        <v>OK</v>
      </c>
    </row>
    <row r="18" spans="1:38" ht="31.5" x14ac:dyDescent="0.25">
      <c r="A18" s="374"/>
      <c r="B18" s="115" t="s">
        <v>174</v>
      </c>
      <c r="C18" s="37"/>
      <c r="D18" s="87"/>
      <c r="E18" s="89"/>
      <c r="F18" s="87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6"/>
      <c r="U18" s="86"/>
      <c r="V18" s="86"/>
      <c r="W18" s="193"/>
      <c r="X18" s="41"/>
      <c r="Y18" s="71"/>
      <c r="Z18" s="202"/>
      <c r="AA18" s="93"/>
      <c r="AB18" s="68"/>
      <c r="AC18" s="68"/>
      <c r="AD18" s="189"/>
      <c r="AE18" s="41"/>
      <c r="AF18" s="71"/>
      <c r="AG18" s="71"/>
      <c r="AH18" s="1"/>
      <c r="AI18" s="71"/>
      <c r="AJ18" s="318">
        <f t="shared" si="5"/>
        <v>0</v>
      </c>
      <c r="AL18" s="1" t="str">
        <f t="shared" si="3"/>
        <v>OK</v>
      </c>
    </row>
    <row r="19" spans="1:38" ht="45" x14ac:dyDescent="0.25">
      <c r="A19" s="374"/>
      <c r="B19" s="114" t="s">
        <v>28</v>
      </c>
      <c r="C19" s="154" t="s">
        <v>255</v>
      </c>
      <c r="D19" s="137" t="s">
        <v>155</v>
      </c>
      <c r="E19" s="34"/>
      <c r="F19" s="137"/>
      <c r="G19" s="34"/>
      <c r="H19" s="34">
        <f>500*1500*96</f>
        <v>72000000</v>
      </c>
      <c r="I19" s="34"/>
      <c r="J19" s="34">
        <f>500*1500*96</f>
        <v>72000000</v>
      </c>
      <c r="K19" s="34">
        <f>1000*1500*96</f>
        <v>144000000</v>
      </c>
      <c r="L19" s="34"/>
      <c r="M19" s="34">
        <f>1000*1500*96</f>
        <v>144000000</v>
      </c>
      <c r="N19" s="34">
        <f>1500*1500*96</f>
        <v>216000000</v>
      </c>
      <c r="O19" s="34"/>
      <c r="P19" s="34">
        <f>1500*1500*96</f>
        <v>216000000</v>
      </c>
      <c r="Q19" s="34">
        <f>1500*1500*96</f>
        <v>216000000</v>
      </c>
      <c r="R19" s="34"/>
      <c r="S19" s="34">
        <f>1500*1500*96</f>
        <v>216000000</v>
      </c>
      <c r="T19" s="6"/>
      <c r="U19" s="14">
        <f>E19+H19+K19+N19+Q19</f>
        <v>648000000</v>
      </c>
      <c r="V19" s="14">
        <f>F19+I19+L19+O19+R19</f>
        <v>0</v>
      </c>
      <c r="W19" s="190">
        <f>G19+J19+M19+P19+S19</f>
        <v>648000000</v>
      </c>
      <c r="X19" s="31">
        <f>216000000-213470000</f>
        <v>2530000</v>
      </c>
      <c r="Y19" s="21">
        <f t="shared" ref="Y19" si="25">F19+I19+L19</f>
        <v>0</v>
      </c>
      <c r="Z19" s="207">
        <v>2530000</v>
      </c>
      <c r="AA19" s="31">
        <v>0</v>
      </c>
      <c r="AB19" s="21">
        <v>0</v>
      </c>
      <c r="AC19" s="21"/>
      <c r="AD19" s="198">
        <v>0</v>
      </c>
      <c r="AE19" s="31">
        <f>N19+Q19</f>
        <v>432000000</v>
      </c>
      <c r="AF19" s="21">
        <f t="shared" ref="AF19:AG19" si="26">O19+R19</f>
        <v>0</v>
      </c>
      <c r="AG19" s="20">
        <f t="shared" si="26"/>
        <v>432000000</v>
      </c>
      <c r="AH19" s="1"/>
      <c r="AI19" s="12">
        <f>W19-Z19-AD19-AG19</f>
        <v>213470000</v>
      </c>
      <c r="AJ19" s="103">
        <f t="shared" si="5"/>
        <v>6750000</v>
      </c>
      <c r="AL19" s="1" t="str">
        <f t="shared" si="3"/>
        <v>OK</v>
      </c>
    </row>
    <row r="20" spans="1:38" ht="15.75" x14ac:dyDescent="0.25">
      <c r="A20" s="74"/>
      <c r="B20" s="115" t="s">
        <v>29</v>
      </c>
      <c r="C20" s="38"/>
      <c r="D20" s="87"/>
      <c r="E20" s="91"/>
      <c r="F20" s="87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40"/>
      <c r="U20" s="40"/>
      <c r="V20" s="40"/>
      <c r="W20" s="193"/>
      <c r="X20" s="41"/>
      <c r="Y20" s="41"/>
      <c r="Z20" s="202"/>
      <c r="AA20" s="93"/>
      <c r="AB20" s="92"/>
      <c r="AC20" s="92"/>
      <c r="AD20" s="189"/>
      <c r="AE20" s="41"/>
      <c r="AF20" s="71"/>
      <c r="AG20" s="71"/>
      <c r="AH20" s="1"/>
      <c r="AI20" s="184"/>
      <c r="AJ20" s="323">
        <f t="shared" si="5"/>
        <v>0</v>
      </c>
      <c r="AL20" s="1" t="str">
        <f t="shared" si="3"/>
        <v>OK</v>
      </c>
    </row>
    <row r="21" spans="1:38" ht="31.5" x14ac:dyDescent="0.25">
      <c r="A21" s="74"/>
      <c r="B21" s="114" t="s">
        <v>30</v>
      </c>
      <c r="C21" s="154" t="s">
        <v>255</v>
      </c>
      <c r="D21" s="9"/>
      <c r="E21" s="34">
        <f>500*96*30</f>
        <v>1440000</v>
      </c>
      <c r="F21" s="9"/>
      <c r="G21" s="34">
        <f>500*96*30</f>
        <v>1440000</v>
      </c>
      <c r="H21" s="34">
        <f>500*96*30</f>
        <v>1440000</v>
      </c>
      <c r="I21" s="34"/>
      <c r="J21" s="34">
        <f>500*96*30</f>
        <v>1440000</v>
      </c>
      <c r="K21" s="75">
        <f>500*96*15</f>
        <v>720000</v>
      </c>
      <c r="L21" s="75"/>
      <c r="M21" s="75">
        <f>500*96*15</f>
        <v>720000</v>
      </c>
      <c r="N21" s="75"/>
      <c r="O21" s="75"/>
      <c r="P21" s="75"/>
      <c r="Q21" s="75"/>
      <c r="R21" s="75"/>
      <c r="S21" s="75"/>
      <c r="T21" s="5"/>
      <c r="U21" s="14">
        <f>E21+H21+K21+N21+Q21</f>
        <v>3600000</v>
      </c>
      <c r="V21" s="14">
        <f>F21+I21+L21+O21+R21</f>
        <v>0</v>
      </c>
      <c r="W21" s="190">
        <f>G21+J21+M21+P21+S21</f>
        <v>3600000</v>
      </c>
      <c r="X21" s="31">
        <v>0</v>
      </c>
      <c r="Y21" s="21">
        <f t="shared" ref="Y21" si="27">F21+I21+L21</f>
        <v>0</v>
      </c>
      <c r="Z21" s="207">
        <v>0</v>
      </c>
      <c r="AA21" s="32"/>
      <c r="AB21" s="31"/>
      <c r="AC21" s="31"/>
      <c r="AD21" s="198"/>
      <c r="AE21" s="31">
        <f>N21+Q21</f>
        <v>0</v>
      </c>
      <c r="AF21" s="21">
        <f t="shared" ref="AF21:AG21" si="28">O21+R21</f>
        <v>0</v>
      </c>
      <c r="AG21" s="20">
        <f t="shared" si="28"/>
        <v>0</v>
      </c>
      <c r="AH21" s="1"/>
      <c r="AI21" s="21">
        <f>W21-Z21-AD21-AG21</f>
        <v>3600000</v>
      </c>
      <c r="AJ21" s="322">
        <f t="shared" si="5"/>
        <v>37500</v>
      </c>
      <c r="AL21" s="1" t="str">
        <f t="shared" si="3"/>
        <v>OK</v>
      </c>
    </row>
    <row r="22" spans="1:38" ht="31.5" x14ac:dyDescent="0.25">
      <c r="A22" s="74"/>
      <c r="B22" s="115" t="s">
        <v>264</v>
      </c>
      <c r="C22" s="38"/>
      <c r="D22" s="87"/>
      <c r="E22" s="91"/>
      <c r="F22" s="87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40"/>
      <c r="U22" s="40"/>
      <c r="V22" s="40"/>
      <c r="W22" s="193"/>
      <c r="X22" s="41"/>
      <c r="Y22" s="41"/>
      <c r="Z22" s="202"/>
      <c r="AA22" s="93"/>
      <c r="AB22" s="92"/>
      <c r="AC22" s="92"/>
      <c r="AD22" s="189"/>
      <c r="AE22" s="41"/>
      <c r="AF22" s="71"/>
      <c r="AG22" s="71"/>
      <c r="AH22" s="1"/>
      <c r="AI22" s="184"/>
      <c r="AJ22" s="323">
        <f t="shared" si="5"/>
        <v>0</v>
      </c>
      <c r="AL22" s="1" t="str">
        <f t="shared" si="3"/>
        <v>OK</v>
      </c>
    </row>
    <row r="23" spans="1:38" ht="31.5" x14ac:dyDescent="0.25">
      <c r="A23" s="74"/>
      <c r="B23" s="114" t="s">
        <v>31</v>
      </c>
      <c r="C23" s="154" t="s">
        <v>255</v>
      </c>
      <c r="D23" s="9"/>
      <c r="E23" s="75"/>
      <c r="F23" s="9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"/>
      <c r="U23" s="14">
        <f>E23+H23+K23+N23+Q23</f>
        <v>0</v>
      </c>
      <c r="V23" s="14">
        <f>F23+I23+L23+O23+R23</f>
        <v>0</v>
      </c>
      <c r="W23" s="190">
        <f>G23+J23+M23+P23+S23</f>
        <v>0</v>
      </c>
      <c r="X23" s="31">
        <f>E23+H23+K23</f>
        <v>0</v>
      </c>
      <c r="Y23" s="21">
        <f t="shared" ref="Y23:Z23" si="29">F23+I23+L23</f>
        <v>0</v>
      </c>
      <c r="Z23" s="207">
        <f t="shared" si="29"/>
        <v>0</v>
      </c>
      <c r="AA23" s="32"/>
      <c r="AB23" s="31"/>
      <c r="AC23" s="31"/>
      <c r="AD23" s="198"/>
      <c r="AE23" s="31">
        <f>N23+Q23</f>
        <v>0</v>
      </c>
      <c r="AF23" s="21">
        <f t="shared" ref="AF23:AG23" si="30">O23+R23</f>
        <v>0</v>
      </c>
      <c r="AG23" s="20">
        <f t="shared" si="30"/>
        <v>0</v>
      </c>
      <c r="AH23" s="1"/>
      <c r="AI23" s="21">
        <f>W23-Z23-AD23-AG23</f>
        <v>0</v>
      </c>
      <c r="AJ23" s="322">
        <f t="shared" si="5"/>
        <v>0</v>
      </c>
      <c r="AL23" s="1" t="str">
        <f t="shared" si="3"/>
        <v>OK</v>
      </c>
    </row>
    <row r="24" spans="1:38" ht="15.75" x14ac:dyDescent="0.25">
      <c r="A24" s="51"/>
      <c r="B24" s="94" t="s">
        <v>8</v>
      </c>
      <c r="C24" s="95"/>
      <c r="D24" s="96"/>
      <c r="E24" s="97">
        <f t="shared" ref="E24:R24" si="31">SUM(E15:E23)</f>
        <v>492780000</v>
      </c>
      <c r="F24" s="97">
        <f t="shared" si="31"/>
        <v>0</v>
      </c>
      <c r="G24" s="97">
        <f t="shared" si="31"/>
        <v>492780000</v>
      </c>
      <c r="H24" s="97">
        <f t="shared" si="31"/>
        <v>594800000</v>
      </c>
      <c r="I24" s="97">
        <f t="shared" si="31"/>
        <v>0</v>
      </c>
      <c r="J24" s="97">
        <f t="shared" si="31"/>
        <v>594800000</v>
      </c>
      <c r="K24" s="97">
        <f t="shared" si="31"/>
        <v>697180000</v>
      </c>
      <c r="L24" s="97">
        <f t="shared" si="31"/>
        <v>0</v>
      </c>
      <c r="M24" s="97">
        <f t="shared" si="31"/>
        <v>697180000</v>
      </c>
      <c r="N24" s="97">
        <f t="shared" si="31"/>
        <v>768460000</v>
      </c>
      <c r="O24" s="97">
        <f t="shared" si="31"/>
        <v>0</v>
      </c>
      <c r="P24" s="97">
        <f t="shared" si="31"/>
        <v>768460000</v>
      </c>
      <c r="Q24" s="97">
        <f t="shared" si="31"/>
        <v>768460000</v>
      </c>
      <c r="R24" s="97">
        <f t="shared" si="31"/>
        <v>0</v>
      </c>
      <c r="S24" s="97">
        <f t="shared" ref="S24:AD24" si="32">SUM(S15:S23)</f>
        <v>768460000</v>
      </c>
      <c r="T24" s="97"/>
      <c r="U24" s="97">
        <f t="shared" si="32"/>
        <v>3321680000</v>
      </c>
      <c r="V24" s="97">
        <f t="shared" ref="V24:W24" si="33">SUM(V15:V23)</f>
        <v>0</v>
      </c>
      <c r="W24" s="191">
        <f t="shared" si="33"/>
        <v>3321680000</v>
      </c>
      <c r="X24" s="97">
        <f t="shared" si="32"/>
        <v>1564390000</v>
      </c>
      <c r="Y24" s="97">
        <f t="shared" ref="Y24:Z24" si="34">SUM(Y15:Y23)</f>
        <v>0</v>
      </c>
      <c r="Z24" s="200">
        <f t="shared" si="34"/>
        <v>1564390000</v>
      </c>
      <c r="AA24" s="97">
        <f t="shared" si="32"/>
        <v>0</v>
      </c>
      <c r="AB24" s="97">
        <f t="shared" si="32"/>
        <v>0</v>
      </c>
      <c r="AC24" s="97">
        <f t="shared" si="32"/>
        <v>0</v>
      </c>
      <c r="AD24" s="191">
        <f t="shared" si="32"/>
        <v>0</v>
      </c>
      <c r="AE24" s="97">
        <f>N24+Q24</f>
        <v>1536920000</v>
      </c>
      <c r="AF24" s="97">
        <f>O24+R24</f>
        <v>0</v>
      </c>
      <c r="AG24" s="97">
        <f>P24+S24</f>
        <v>1536920000</v>
      </c>
      <c r="AH24" s="1"/>
      <c r="AI24" s="97">
        <f>W24-Z24-AD24-AG24</f>
        <v>220370000</v>
      </c>
      <c r="AJ24" s="320">
        <f t="shared" si="5"/>
        <v>34600833.333333336</v>
      </c>
      <c r="AL24" s="1" t="str">
        <f t="shared" si="3"/>
        <v>OK</v>
      </c>
    </row>
    <row r="25" spans="1:38" ht="18.75" x14ac:dyDescent="0.25">
      <c r="B25" s="371" t="s">
        <v>265</v>
      </c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3"/>
      <c r="T25" s="45"/>
      <c r="U25" s="45"/>
      <c r="V25" s="45"/>
      <c r="W25" s="192"/>
      <c r="X25" s="187"/>
      <c r="Y25" s="46"/>
      <c r="Z25" s="201"/>
      <c r="AA25" s="187"/>
      <c r="AB25" s="46"/>
      <c r="AC25" s="46"/>
      <c r="AD25" s="192"/>
      <c r="AE25" s="187"/>
      <c r="AF25" s="46"/>
      <c r="AG25" s="46"/>
      <c r="AH25" s="1"/>
      <c r="AI25" s="46"/>
      <c r="AJ25" s="321"/>
      <c r="AL25" s="1" t="str">
        <f t="shared" si="3"/>
        <v>OK</v>
      </c>
    </row>
    <row r="26" spans="1:38" ht="31.5" x14ac:dyDescent="0.25">
      <c r="B26" s="115" t="s">
        <v>32</v>
      </c>
      <c r="C26" s="38"/>
      <c r="D26" s="87"/>
      <c r="E26" s="87"/>
      <c r="F26" s="87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89"/>
      <c r="X26" s="41"/>
      <c r="Y26" s="41"/>
      <c r="Z26" s="202"/>
      <c r="AA26" s="41"/>
      <c r="AB26" s="41"/>
      <c r="AC26" s="41"/>
      <c r="AD26" s="189"/>
      <c r="AE26" s="41"/>
      <c r="AF26" s="71"/>
      <c r="AG26" s="71"/>
      <c r="AH26" s="1"/>
      <c r="AI26" s="71">
        <f t="shared" ref="AI26:AI32" si="35">W26-Z26-AD26</f>
        <v>0</v>
      </c>
      <c r="AJ26" s="318">
        <f t="shared" si="5"/>
        <v>0</v>
      </c>
      <c r="AL26" s="1" t="str">
        <f t="shared" si="3"/>
        <v>OK</v>
      </c>
    </row>
    <row r="27" spans="1:38" ht="44.25" x14ac:dyDescent="0.25">
      <c r="B27" s="114" t="s">
        <v>33</v>
      </c>
      <c r="C27" s="154" t="s">
        <v>255</v>
      </c>
      <c r="D27" s="9"/>
      <c r="E27" s="31"/>
      <c r="F27" s="9"/>
      <c r="G27" s="31"/>
      <c r="H27" s="31">
        <f>45*500*96</f>
        <v>2160000</v>
      </c>
      <c r="I27" s="31"/>
      <c r="J27" s="31">
        <f>45*500*96</f>
        <v>2160000</v>
      </c>
      <c r="K27" s="31">
        <f>45*500*96</f>
        <v>2160000</v>
      </c>
      <c r="L27" s="31"/>
      <c r="M27" s="31">
        <f>45*500*96</f>
        <v>2160000</v>
      </c>
      <c r="N27" s="31">
        <f>45*500*96</f>
        <v>2160000</v>
      </c>
      <c r="O27" s="31"/>
      <c r="P27" s="31">
        <f>45*500*96</f>
        <v>2160000</v>
      </c>
      <c r="Q27" s="31"/>
      <c r="R27" s="31"/>
      <c r="S27" s="31"/>
      <c r="T27" s="76"/>
      <c r="U27" s="13">
        <f t="shared" ref="U27:V29" si="36">Q27+N27+K27+H27+E27</f>
        <v>6480000</v>
      </c>
      <c r="V27" s="13">
        <f t="shared" si="36"/>
        <v>0</v>
      </c>
      <c r="W27" s="194">
        <f>S27+P27+M27+J27+G27</f>
        <v>6480000</v>
      </c>
      <c r="X27" s="186">
        <f>E27+H27+K27</f>
        <v>4320000</v>
      </c>
      <c r="Y27" s="14">
        <f t="shared" ref="Y27" si="37">F27+I27+L27</f>
        <v>0</v>
      </c>
      <c r="Z27" s="208">
        <f t="shared" ref="Z27" si="38">G27+J27+M27</f>
        <v>4320000</v>
      </c>
      <c r="AA27" s="76"/>
      <c r="AB27" s="76"/>
      <c r="AC27" s="76"/>
      <c r="AD27" s="198"/>
      <c r="AE27" s="31">
        <f>N27+Q27</f>
        <v>2160000</v>
      </c>
      <c r="AF27" s="21">
        <f t="shared" ref="AF27" si="39">O27+R27</f>
        <v>0</v>
      </c>
      <c r="AG27" s="20">
        <f t="shared" ref="AG27" si="40">P27+S27</f>
        <v>2160000</v>
      </c>
      <c r="AH27" s="1"/>
      <c r="AI27" s="21">
        <f t="shared" ref="AI27:AI29" si="41">W27-Z27-AD27-AG27</f>
        <v>0</v>
      </c>
      <c r="AJ27" s="322">
        <f t="shared" si="5"/>
        <v>67500</v>
      </c>
      <c r="AL27" s="1" t="str">
        <f t="shared" si="3"/>
        <v>OK</v>
      </c>
    </row>
    <row r="28" spans="1:38" ht="31.5" x14ac:dyDescent="0.25">
      <c r="B28" s="114" t="s">
        <v>34</v>
      </c>
      <c r="C28" s="154" t="s">
        <v>255</v>
      </c>
      <c r="D28" s="9"/>
      <c r="E28" s="31">
        <f>30*50000+20*50000</f>
        <v>2500000</v>
      </c>
      <c r="F28" s="9"/>
      <c r="G28" s="31">
        <f>30*50000+20*50000</f>
        <v>2500000</v>
      </c>
      <c r="H28" s="31">
        <f>30*50000</f>
        <v>1500000</v>
      </c>
      <c r="I28" s="31"/>
      <c r="J28" s="31">
        <f>30*50000</f>
        <v>1500000</v>
      </c>
      <c r="K28" s="31"/>
      <c r="L28" s="31"/>
      <c r="M28" s="31"/>
      <c r="N28" s="31"/>
      <c r="O28" s="31"/>
      <c r="P28" s="31"/>
      <c r="Q28" s="31"/>
      <c r="R28" s="31"/>
      <c r="S28" s="31"/>
      <c r="T28" s="76"/>
      <c r="U28" s="13">
        <f t="shared" si="36"/>
        <v>4000000</v>
      </c>
      <c r="V28" s="13">
        <f t="shared" si="36"/>
        <v>0</v>
      </c>
      <c r="W28" s="194">
        <f t="shared" ref="W28:W29" si="42">S28+P28+M28+J28+G28</f>
        <v>4000000</v>
      </c>
      <c r="X28" s="186">
        <v>0</v>
      </c>
      <c r="Y28" s="14">
        <f t="shared" ref="Y28:Y29" si="43">F28+I28+L28</f>
        <v>0</v>
      </c>
      <c r="Z28" s="208">
        <v>0</v>
      </c>
      <c r="AA28" s="76">
        <f>U28</f>
        <v>4000000</v>
      </c>
      <c r="AB28" s="76"/>
      <c r="AC28" s="76"/>
      <c r="AD28" s="198">
        <f>W28</f>
        <v>4000000</v>
      </c>
      <c r="AE28" s="76"/>
      <c r="AF28" s="20"/>
      <c r="AG28" s="20"/>
      <c r="AH28" s="1"/>
      <c r="AI28" s="21">
        <f t="shared" si="41"/>
        <v>0</v>
      </c>
      <c r="AJ28" s="322">
        <f t="shared" si="5"/>
        <v>41666.666666666664</v>
      </c>
      <c r="AL28" s="1" t="str">
        <f t="shared" si="3"/>
        <v>OK</v>
      </c>
    </row>
    <row r="29" spans="1:38" ht="47.25" x14ac:dyDescent="0.25">
      <c r="B29" s="114" t="s">
        <v>35</v>
      </c>
      <c r="C29" s="154" t="s">
        <v>255</v>
      </c>
      <c r="D29" s="9"/>
      <c r="E29" s="76"/>
      <c r="F29" s="9"/>
      <c r="G29" s="76"/>
      <c r="H29" s="34">
        <f>600*96*30</f>
        <v>1728000</v>
      </c>
      <c r="I29" s="76"/>
      <c r="J29" s="34">
        <f>600*96*30</f>
        <v>1728000</v>
      </c>
      <c r="K29" s="34">
        <f>600*96*30</f>
        <v>1728000</v>
      </c>
      <c r="L29" s="34"/>
      <c r="M29" s="34">
        <f>600*96*30</f>
        <v>1728000</v>
      </c>
      <c r="N29" s="76"/>
      <c r="O29" s="75"/>
      <c r="P29" s="76"/>
      <c r="Q29" s="76"/>
      <c r="R29" s="76"/>
      <c r="S29" s="76"/>
      <c r="T29" s="76"/>
      <c r="U29" s="13">
        <f t="shared" si="36"/>
        <v>3456000</v>
      </c>
      <c r="V29" s="13">
        <f t="shared" si="36"/>
        <v>0</v>
      </c>
      <c r="W29" s="194">
        <f t="shared" si="42"/>
        <v>3456000</v>
      </c>
      <c r="X29" s="186">
        <v>0</v>
      </c>
      <c r="Y29" s="14">
        <f t="shared" si="43"/>
        <v>0</v>
      </c>
      <c r="Z29" s="208">
        <v>0</v>
      </c>
      <c r="AA29" s="76"/>
      <c r="AB29" s="76"/>
      <c r="AC29" s="76"/>
      <c r="AD29" s="198"/>
      <c r="AE29" s="76"/>
      <c r="AF29" s="20"/>
      <c r="AG29" s="20"/>
      <c r="AH29" s="1"/>
      <c r="AI29" s="21">
        <f t="shared" si="41"/>
        <v>3456000</v>
      </c>
      <c r="AJ29" s="322">
        <f t="shared" si="5"/>
        <v>36000</v>
      </c>
      <c r="AL29" s="1" t="str">
        <f t="shared" si="3"/>
        <v>OK</v>
      </c>
    </row>
    <row r="30" spans="1:38" ht="15.75" x14ac:dyDescent="0.25">
      <c r="B30" s="98" t="s">
        <v>9</v>
      </c>
      <c r="C30" s="95"/>
      <c r="D30" s="96"/>
      <c r="E30" s="96"/>
      <c r="F30" s="96"/>
      <c r="G30" s="97">
        <f>SUM(G27:G29)</f>
        <v>2500000</v>
      </c>
      <c r="H30" s="97"/>
      <c r="I30" s="97"/>
      <c r="J30" s="97">
        <f t="shared" ref="J30:AI30" si="44">SUM(J27:J29)</f>
        <v>5388000</v>
      </c>
      <c r="K30" s="97">
        <f t="shared" ref="K30" si="45">SUM(K27:K29)</f>
        <v>3888000</v>
      </c>
      <c r="L30" s="97"/>
      <c r="M30" s="97">
        <f t="shared" si="44"/>
        <v>3888000</v>
      </c>
      <c r="N30" s="97">
        <f t="shared" ref="N30" si="46">SUM(N27:N29)</f>
        <v>2160000</v>
      </c>
      <c r="O30" s="97"/>
      <c r="P30" s="97">
        <f t="shared" si="44"/>
        <v>2160000</v>
      </c>
      <c r="Q30" s="97">
        <f t="shared" ref="Q30" si="47">SUM(Q27:Q29)</f>
        <v>0</v>
      </c>
      <c r="R30" s="97"/>
      <c r="S30" s="97">
        <f t="shared" si="44"/>
        <v>0</v>
      </c>
      <c r="T30" s="97"/>
      <c r="U30" s="97">
        <f t="shared" ref="U30:V30" si="48">SUM(U27:U29)</f>
        <v>13936000</v>
      </c>
      <c r="V30" s="97">
        <f t="shared" si="48"/>
        <v>0</v>
      </c>
      <c r="W30" s="191">
        <f>SUM(W27:W29)</f>
        <v>13936000</v>
      </c>
      <c r="X30" s="97">
        <f t="shared" ref="X30:Y30" si="49">SUM(X27:X29)</f>
        <v>4320000</v>
      </c>
      <c r="Y30" s="97">
        <f t="shared" si="49"/>
        <v>0</v>
      </c>
      <c r="Z30" s="200">
        <f>SUM(Z27:Z29)</f>
        <v>4320000</v>
      </c>
      <c r="AA30" s="97">
        <f t="shared" si="44"/>
        <v>4000000</v>
      </c>
      <c r="AB30" s="97">
        <f t="shared" si="44"/>
        <v>0</v>
      </c>
      <c r="AC30" s="97">
        <f t="shared" si="44"/>
        <v>0</v>
      </c>
      <c r="AD30" s="191">
        <f t="shared" si="44"/>
        <v>4000000</v>
      </c>
      <c r="AE30" s="97">
        <f t="shared" si="44"/>
        <v>2160000</v>
      </c>
      <c r="AF30" s="97">
        <f t="shared" si="44"/>
        <v>0</v>
      </c>
      <c r="AG30" s="97">
        <f t="shared" si="44"/>
        <v>2160000</v>
      </c>
      <c r="AH30" s="1"/>
      <c r="AI30" s="97">
        <f t="shared" si="44"/>
        <v>3456000</v>
      </c>
      <c r="AJ30" s="320">
        <f t="shared" si="5"/>
        <v>145166.66666666666</v>
      </c>
      <c r="AL30" s="1" t="str">
        <f t="shared" si="3"/>
        <v>OK</v>
      </c>
    </row>
    <row r="31" spans="1:38" ht="18.75" x14ac:dyDescent="0.25">
      <c r="B31" s="371" t="s">
        <v>223</v>
      </c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3"/>
      <c r="T31" s="45"/>
      <c r="U31" s="45"/>
      <c r="V31" s="45"/>
      <c r="W31" s="192"/>
      <c r="X31" s="187"/>
      <c r="Y31" s="46"/>
      <c r="Z31" s="201"/>
      <c r="AA31" s="187"/>
      <c r="AB31" s="46"/>
      <c r="AC31" s="46"/>
      <c r="AD31" s="192"/>
      <c r="AE31" s="187"/>
      <c r="AF31" s="46"/>
      <c r="AG31" s="46"/>
      <c r="AH31" s="1"/>
      <c r="AI31" s="46"/>
      <c r="AJ31" s="321"/>
      <c r="AL31" s="1" t="str">
        <f t="shared" si="3"/>
        <v>OK</v>
      </c>
    </row>
    <row r="32" spans="1:38" ht="47.25" x14ac:dyDescent="0.25">
      <c r="B32" s="115" t="s">
        <v>175</v>
      </c>
      <c r="C32" s="38"/>
      <c r="D32" s="87"/>
      <c r="E32" s="87"/>
      <c r="F32" s="87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89"/>
      <c r="X32" s="41"/>
      <c r="Y32" s="41"/>
      <c r="Z32" s="202"/>
      <c r="AA32" s="41"/>
      <c r="AB32" s="41"/>
      <c r="AC32" s="41"/>
      <c r="AD32" s="189"/>
      <c r="AE32" s="41"/>
      <c r="AF32" s="71"/>
      <c r="AG32" s="71"/>
      <c r="AH32" s="1"/>
      <c r="AI32" s="71">
        <f t="shared" si="35"/>
        <v>0</v>
      </c>
      <c r="AJ32" s="318">
        <f t="shared" si="5"/>
        <v>0</v>
      </c>
      <c r="AL32" s="1" t="str">
        <f t="shared" si="3"/>
        <v>OK</v>
      </c>
    </row>
    <row r="33" spans="1:38" ht="31.5" x14ac:dyDescent="0.25">
      <c r="B33" s="138" t="s">
        <v>36</v>
      </c>
      <c r="C33" s="38" t="s">
        <v>256</v>
      </c>
      <c r="D33" s="9"/>
      <c r="E33" s="76"/>
      <c r="F33" s="9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13">
        <f t="shared" ref="U33:U68" si="50">Q33+N33+K33+H33+E33</f>
        <v>0</v>
      </c>
      <c r="V33" s="13">
        <f t="shared" ref="V33:V69" si="51">R33+O33+L33+I33+F33</f>
        <v>0</v>
      </c>
      <c r="W33" s="194">
        <f t="shared" ref="W33:W69" si="52">S33+P33+M33+J33+G33</f>
        <v>0</v>
      </c>
      <c r="X33" s="186">
        <f>E33+H33+K33-AA33</f>
        <v>0</v>
      </c>
      <c r="Y33" s="186">
        <f t="shared" ref="Y33:Z35" si="53">F33+I33+L33-AB33</f>
        <v>0</v>
      </c>
      <c r="Z33" s="208">
        <f t="shared" si="53"/>
        <v>0</v>
      </c>
      <c r="AA33" s="76"/>
      <c r="AB33" s="76"/>
      <c r="AC33" s="76"/>
      <c r="AD33" s="198"/>
      <c r="AE33" s="31">
        <f>N33+Q33</f>
        <v>0</v>
      </c>
      <c r="AF33" s="21">
        <f t="shared" ref="AF33:AF34" si="54">O33+R33</f>
        <v>0</v>
      </c>
      <c r="AG33" s="20">
        <f t="shared" ref="AG33:AG34" si="55">P33+S33</f>
        <v>0</v>
      </c>
      <c r="AH33" s="1"/>
      <c r="AI33" s="21">
        <f t="shared" ref="AI33:AI43" si="56">W33-Z33-AD33-AG33</f>
        <v>0</v>
      </c>
      <c r="AJ33" s="322">
        <f t="shared" si="5"/>
        <v>0</v>
      </c>
      <c r="AL33" s="1" t="str">
        <f t="shared" si="3"/>
        <v>OK</v>
      </c>
    </row>
    <row r="34" spans="1:38" ht="31.5" x14ac:dyDescent="0.25">
      <c r="B34" s="141" t="s">
        <v>37</v>
      </c>
      <c r="C34" s="154" t="s">
        <v>255</v>
      </c>
      <c r="D34" s="139"/>
      <c r="E34" s="140">
        <f>400000000*(1/3)</f>
        <v>133333333.33333333</v>
      </c>
      <c r="F34" s="166"/>
      <c r="G34" s="140">
        <f>400000000*(1/3)</f>
        <v>133333333.33333333</v>
      </c>
      <c r="H34" s="140">
        <f>430000000*(1/3)</f>
        <v>143333333.33333331</v>
      </c>
      <c r="I34" s="140"/>
      <c r="J34" s="140">
        <f>430000000*(1/3)</f>
        <v>143333333.33333331</v>
      </c>
      <c r="K34" s="140">
        <f>450000000*(1/3)</f>
        <v>150000000</v>
      </c>
      <c r="L34" s="140"/>
      <c r="M34" s="140">
        <f>450000000*(1/3)</f>
        <v>150000000</v>
      </c>
      <c r="N34" s="140">
        <f>450000000*(1/3)</f>
        <v>150000000</v>
      </c>
      <c r="O34" s="140"/>
      <c r="P34" s="140">
        <f>450000000*(1/3)</f>
        <v>150000000</v>
      </c>
      <c r="Q34" s="140">
        <f>450000000*(1/3)</f>
        <v>150000000</v>
      </c>
      <c r="R34" s="140"/>
      <c r="S34" s="140">
        <f>450000000*(1/3)</f>
        <v>150000000</v>
      </c>
      <c r="T34" s="76"/>
      <c r="U34" s="13">
        <f t="shared" si="50"/>
        <v>726666666.66666663</v>
      </c>
      <c r="V34" s="13">
        <f t="shared" si="51"/>
        <v>0</v>
      </c>
      <c r="W34" s="194">
        <f t="shared" si="52"/>
        <v>726666666.66666663</v>
      </c>
      <c r="X34" s="186">
        <f t="shared" ref="X34" si="57">E34+H34+K34-AA34</f>
        <v>426666666.66666663</v>
      </c>
      <c r="Y34" s="186">
        <f t="shared" ref="Y34" si="58">F34+I34+L34-AB34</f>
        <v>0</v>
      </c>
      <c r="Z34" s="208">
        <f t="shared" ref="Z34" si="59">G34+J34+M34-AC34</f>
        <v>426666666.66666663</v>
      </c>
      <c r="AA34" s="76">
        <v>0</v>
      </c>
      <c r="AB34" s="76">
        <v>0</v>
      </c>
      <c r="AC34" s="76"/>
      <c r="AD34" s="198">
        <v>0</v>
      </c>
      <c r="AE34" s="31">
        <f>N34+Q34</f>
        <v>300000000</v>
      </c>
      <c r="AF34" s="21">
        <f t="shared" si="54"/>
        <v>0</v>
      </c>
      <c r="AG34" s="20">
        <f t="shared" si="55"/>
        <v>300000000</v>
      </c>
      <c r="AH34" s="1"/>
      <c r="AI34" s="21">
        <f>W34-Z34-AD34-AG34</f>
        <v>0</v>
      </c>
      <c r="AJ34" s="322">
        <f t="shared" si="5"/>
        <v>7569444.444444444</v>
      </c>
      <c r="AL34" s="1" t="str">
        <f t="shared" si="3"/>
        <v>OK</v>
      </c>
    </row>
    <row r="35" spans="1:38" ht="31.5" x14ac:dyDescent="0.25">
      <c r="B35" s="114" t="s">
        <v>38</v>
      </c>
      <c r="C35" s="38" t="s">
        <v>254</v>
      </c>
      <c r="D35" s="9"/>
      <c r="E35" s="31">
        <f>10*120000</f>
        <v>1200000</v>
      </c>
      <c r="F35" s="9"/>
      <c r="G35" s="31">
        <f>10*120000</f>
        <v>1200000</v>
      </c>
      <c r="H35" s="31">
        <f>20*120000</f>
        <v>2400000</v>
      </c>
      <c r="I35" s="31"/>
      <c r="J35" s="31">
        <f>20*120000</f>
        <v>2400000</v>
      </c>
      <c r="K35" s="31">
        <f>30*120000</f>
        <v>3600000</v>
      </c>
      <c r="L35" s="31"/>
      <c r="M35" s="31">
        <f>30*120000</f>
        <v>3600000</v>
      </c>
      <c r="N35" s="31">
        <f>K35</f>
        <v>3600000</v>
      </c>
      <c r="O35" s="31"/>
      <c r="P35" s="31">
        <f>M35</f>
        <v>3600000</v>
      </c>
      <c r="Q35" s="31">
        <f>N35</f>
        <v>3600000</v>
      </c>
      <c r="R35" s="31"/>
      <c r="S35" s="31">
        <f>P35</f>
        <v>3600000</v>
      </c>
      <c r="T35" s="76"/>
      <c r="U35" s="13">
        <f t="shared" si="50"/>
        <v>14400000</v>
      </c>
      <c r="V35" s="13">
        <f t="shared" si="51"/>
        <v>0</v>
      </c>
      <c r="W35" s="194">
        <f t="shared" si="52"/>
        <v>14400000</v>
      </c>
      <c r="X35" s="186">
        <f t="shared" ref="X35" si="60">E35+H35+K35-AA35</f>
        <v>7200000</v>
      </c>
      <c r="Y35" s="186">
        <f t="shared" si="53"/>
        <v>0</v>
      </c>
      <c r="Z35" s="208">
        <f t="shared" si="53"/>
        <v>7200000</v>
      </c>
      <c r="AA35" s="76"/>
      <c r="AB35" s="76"/>
      <c r="AC35" s="76"/>
      <c r="AD35" s="198"/>
      <c r="AE35" s="31">
        <f>N35+Q35</f>
        <v>7200000</v>
      </c>
      <c r="AF35" s="21">
        <f t="shared" ref="AF35" si="61">O35+R35</f>
        <v>0</v>
      </c>
      <c r="AG35" s="20">
        <f t="shared" ref="AG35" si="62">P35+S35</f>
        <v>7200000</v>
      </c>
      <c r="AH35" s="1"/>
      <c r="AI35" s="21">
        <f t="shared" si="56"/>
        <v>0</v>
      </c>
      <c r="AJ35" s="322">
        <f t="shared" si="5"/>
        <v>150000</v>
      </c>
      <c r="AL35" s="1" t="str">
        <f t="shared" si="3"/>
        <v>OK</v>
      </c>
    </row>
    <row r="36" spans="1:38" ht="32.25" thickBot="1" x14ac:dyDescent="0.3">
      <c r="B36" s="115" t="s">
        <v>176</v>
      </c>
      <c r="C36" s="38"/>
      <c r="D36" s="87"/>
      <c r="E36" s="41"/>
      <c r="F36" s="8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89"/>
      <c r="X36" s="41"/>
      <c r="Y36" s="41"/>
      <c r="Z36" s="202"/>
      <c r="AA36" s="41"/>
      <c r="AB36" s="41"/>
      <c r="AC36" s="41"/>
      <c r="AD36" s="189"/>
      <c r="AE36" s="41"/>
      <c r="AF36" s="41"/>
      <c r="AG36" s="41"/>
      <c r="AH36" s="1"/>
      <c r="AI36" s="71"/>
      <c r="AJ36" s="318"/>
      <c r="AL36" s="1" t="str">
        <f t="shared" si="3"/>
        <v>OK</v>
      </c>
    </row>
    <row r="37" spans="1:38" ht="45" x14ac:dyDescent="0.25">
      <c r="A37" s="1" t="s">
        <v>156</v>
      </c>
      <c r="B37" s="142" t="s">
        <v>39</v>
      </c>
      <c r="C37" s="38" t="s">
        <v>253</v>
      </c>
      <c r="D37" s="139">
        <v>2557831.2000000002</v>
      </c>
      <c r="E37" s="31">
        <f>2*2557831.2</f>
        <v>5115662.4000000004</v>
      </c>
      <c r="G37" s="31">
        <f>2*2557831.2</f>
        <v>5115662.4000000004</v>
      </c>
      <c r="H37" s="31">
        <f>2*2557831.2</f>
        <v>5115662.4000000004</v>
      </c>
      <c r="J37" s="31">
        <f>2*2557831.2</f>
        <v>5115662.4000000004</v>
      </c>
      <c r="K37" s="31">
        <f>M37-L37</f>
        <v>7673493.6000000015</v>
      </c>
      <c r="L37" s="31">
        <v>3900000</v>
      </c>
      <c r="M37" s="31">
        <f>J37+6457831.2</f>
        <v>11573493.600000001</v>
      </c>
      <c r="N37" s="31">
        <f>2557831.2*3</f>
        <v>7673493.6000000006</v>
      </c>
      <c r="O37" s="31"/>
      <c r="P37" s="31">
        <f>D37*3</f>
        <v>7673493.6000000006</v>
      </c>
      <c r="Q37" s="31">
        <f>2557831.2*4</f>
        <v>10231324.800000001</v>
      </c>
      <c r="R37" s="31">
        <v>3900000</v>
      </c>
      <c r="S37" s="31">
        <f>P37+6457831.2</f>
        <v>14131324.800000001</v>
      </c>
      <c r="T37" s="76"/>
      <c r="U37" s="13">
        <f>Q37+N37+K37+H37+E37</f>
        <v>35809636.800000004</v>
      </c>
      <c r="V37" s="13">
        <f>R37+O37+L37+I37+F37</f>
        <v>7800000</v>
      </c>
      <c r="W37" s="194">
        <f>S37+P37+M37+J37+G37</f>
        <v>43609636.800000004</v>
      </c>
      <c r="X37" s="31">
        <f>E37+H37+K37-AA37</f>
        <v>14004818.400000002</v>
      </c>
      <c r="Y37" s="31">
        <f>F37+I37+L37-AB37</f>
        <v>0</v>
      </c>
      <c r="Z37" s="203">
        <f>G37+J37+M37-AD37</f>
        <v>14004818.400000002</v>
      </c>
      <c r="AA37" s="76">
        <f>7800000-3900000</f>
        <v>3900000</v>
      </c>
      <c r="AB37" s="20">
        <v>3900000</v>
      </c>
      <c r="AC37" s="76"/>
      <c r="AD37" s="198">
        <f>6457831.2*2-D37*2</f>
        <v>7800000</v>
      </c>
      <c r="AE37" s="31">
        <f>N37+Q37</f>
        <v>17904818.400000002</v>
      </c>
      <c r="AF37" s="21">
        <f t="shared" ref="AF37" si="63">O37+R37</f>
        <v>3900000</v>
      </c>
      <c r="AG37" s="20">
        <f t="shared" ref="AG37" si="64">P37+S37</f>
        <v>21804818.400000002</v>
      </c>
      <c r="AH37" s="1"/>
      <c r="AI37" s="21">
        <f t="shared" si="56"/>
        <v>0</v>
      </c>
      <c r="AJ37" s="322">
        <f t="shared" si="5"/>
        <v>454267.05000000005</v>
      </c>
      <c r="AL37" s="1" t="str">
        <f t="shared" si="3"/>
        <v>OK</v>
      </c>
    </row>
    <row r="38" spans="1:38" ht="31.5" x14ac:dyDescent="0.25">
      <c r="B38" s="115" t="s">
        <v>177</v>
      </c>
      <c r="C38" s="38"/>
      <c r="D38" s="87"/>
      <c r="E38" s="41"/>
      <c r="F38" s="8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89"/>
      <c r="X38" s="92"/>
      <c r="Y38" s="92"/>
      <c r="Z38" s="202"/>
      <c r="AA38" s="41"/>
      <c r="AB38" s="41"/>
      <c r="AC38" s="41"/>
      <c r="AD38" s="189"/>
      <c r="AE38" s="41"/>
      <c r="AF38" s="71"/>
      <c r="AG38" s="71"/>
      <c r="AH38" s="1"/>
      <c r="AI38" s="71"/>
      <c r="AJ38" s="318"/>
      <c r="AL38" s="1" t="str">
        <f t="shared" si="3"/>
        <v>OK</v>
      </c>
    </row>
    <row r="39" spans="1:38" ht="31.5" x14ac:dyDescent="0.25">
      <c r="B39" s="114" t="s">
        <v>40</v>
      </c>
      <c r="C39" s="154" t="s">
        <v>255</v>
      </c>
      <c r="D39" s="9"/>
      <c r="E39" s="31">
        <f>30*50000</f>
        <v>1500000</v>
      </c>
      <c r="F39" s="9"/>
      <c r="G39" s="31">
        <f>30*50000</f>
        <v>1500000</v>
      </c>
      <c r="H39" s="76"/>
      <c r="I39" s="31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13">
        <f t="shared" si="50"/>
        <v>1500000</v>
      </c>
      <c r="V39" s="13">
        <f t="shared" si="51"/>
        <v>0</v>
      </c>
      <c r="W39" s="194">
        <f t="shared" si="52"/>
        <v>1500000</v>
      </c>
      <c r="X39" s="31">
        <v>0</v>
      </c>
      <c r="Y39" s="31">
        <f t="shared" ref="Y39" si="65">F39+I39+K39-AB39</f>
        <v>0</v>
      </c>
      <c r="Z39" s="203">
        <v>0</v>
      </c>
      <c r="AA39" s="76">
        <f>AD39</f>
        <v>1500000</v>
      </c>
      <c r="AB39" s="76"/>
      <c r="AC39" s="76"/>
      <c r="AD39" s="198">
        <f>W39</f>
        <v>1500000</v>
      </c>
      <c r="AE39" s="31">
        <f>N39+Q39</f>
        <v>0</v>
      </c>
      <c r="AF39" s="21">
        <f t="shared" ref="AF39:AF40" si="66">O39+R39</f>
        <v>0</v>
      </c>
      <c r="AG39" s="20">
        <f t="shared" ref="AG39" si="67">P39+S39</f>
        <v>0</v>
      </c>
      <c r="AH39" s="1"/>
      <c r="AI39" s="21">
        <f t="shared" si="56"/>
        <v>0</v>
      </c>
      <c r="AJ39" s="322">
        <f t="shared" si="5"/>
        <v>15625</v>
      </c>
      <c r="AL39" s="1" t="str">
        <f t="shared" si="3"/>
        <v>OK</v>
      </c>
    </row>
    <row r="40" spans="1:38" ht="31.5" x14ac:dyDescent="0.25">
      <c r="B40" s="114" t="s">
        <v>41</v>
      </c>
      <c r="C40" s="154" t="s">
        <v>255</v>
      </c>
      <c r="D40" s="9"/>
      <c r="E40" s="76"/>
      <c r="F40" s="9"/>
      <c r="G40" s="76"/>
      <c r="H40" s="12">
        <f>940990000*10%</f>
        <v>94099000</v>
      </c>
      <c r="I40" s="76"/>
      <c r="J40" s="12">
        <f>940990000*10%</f>
        <v>94099000</v>
      </c>
      <c r="K40" s="12">
        <f>H40</f>
        <v>94099000</v>
      </c>
      <c r="L40" s="12"/>
      <c r="M40" s="12">
        <f>J40</f>
        <v>94099000</v>
      </c>
      <c r="N40" s="12">
        <f>K40</f>
        <v>94099000</v>
      </c>
      <c r="O40" s="12"/>
      <c r="P40" s="12">
        <f>M40</f>
        <v>94099000</v>
      </c>
      <c r="Q40" s="12">
        <f>N40</f>
        <v>94099000</v>
      </c>
      <c r="R40" s="12"/>
      <c r="S40" s="12">
        <f>P40</f>
        <v>94099000</v>
      </c>
      <c r="T40" s="76"/>
      <c r="U40" s="13">
        <f t="shared" si="50"/>
        <v>376396000</v>
      </c>
      <c r="V40" s="13">
        <f t="shared" si="51"/>
        <v>0</v>
      </c>
      <c r="W40" s="194">
        <f t="shared" si="52"/>
        <v>376396000</v>
      </c>
      <c r="X40" s="31">
        <v>0</v>
      </c>
      <c r="Y40" s="31">
        <f>F40+I40+L40-AB40</f>
        <v>0</v>
      </c>
      <c r="Z40" s="203">
        <v>0</v>
      </c>
      <c r="AA40" s="76"/>
      <c r="AB40" s="76"/>
      <c r="AC40" s="76"/>
      <c r="AD40" s="198"/>
      <c r="AE40" s="31">
        <v>0</v>
      </c>
      <c r="AF40" s="21">
        <f t="shared" si="66"/>
        <v>0</v>
      </c>
      <c r="AG40" s="20">
        <v>0</v>
      </c>
      <c r="AH40" s="1"/>
      <c r="AI40" s="21">
        <f t="shared" si="56"/>
        <v>376396000</v>
      </c>
      <c r="AJ40" s="322">
        <f t="shared" si="5"/>
        <v>3920791.6666666665</v>
      </c>
      <c r="AL40" s="1" t="str">
        <f t="shared" ref="AL40:AL71" si="68">IF((AI40+AD40+Z40+AG40)=W40,"OK","Error")</f>
        <v>OK</v>
      </c>
    </row>
    <row r="41" spans="1:38" ht="31.5" x14ac:dyDescent="0.25">
      <c r="B41" s="115" t="s">
        <v>178</v>
      </c>
      <c r="C41" s="38"/>
      <c r="D41" s="87"/>
      <c r="E41" s="41"/>
      <c r="F41" s="8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89"/>
      <c r="X41" s="41"/>
      <c r="Y41" s="41"/>
      <c r="Z41" s="202"/>
      <c r="AA41" s="41"/>
      <c r="AB41" s="41"/>
      <c r="AC41" s="41"/>
      <c r="AD41" s="189"/>
      <c r="AE41" s="41"/>
      <c r="AF41" s="71"/>
      <c r="AG41" s="71"/>
      <c r="AH41" s="1"/>
      <c r="AI41" s="71"/>
      <c r="AJ41" s="318"/>
      <c r="AL41" s="1" t="str">
        <f t="shared" si="68"/>
        <v>OK</v>
      </c>
    </row>
    <row r="42" spans="1:38" ht="31.5" x14ac:dyDescent="0.25">
      <c r="B42" s="114" t="s">
        <v>42</v>
      </c>
      <c r="C42" s="38" t="s">
        <v>254</v>
      </c>
      <c r="D42" s="9">
        <v>9000</v>
      </c>
      <c r="E42" s="31">
        <f>$D42*50*5</f>
        <v>2250000</v>
      </c>
      <c r="F42" s="9"/>
      <c r="G42" s="31">
        <f>$D42*50*5</f>
        <v>2250000</v>
      </c>
      <c r="H42" s="31">
        <f t="shared" ref="H42:S42" si="69">$D42*50*5</f>
        <v>2250000</v>
      </c>
      <c r="I42" s="31"/>
      <c r="J42" s="31">
        <f t="shared" si="69"/>
        <v>2250000</v>
      </c>
      <c r="K42" s="31">
        <f t="shared" si="69"/>
        <v>2250000</v>
      </c>
      <c r="L42" s="31"/>
      <c r="M42" s="31">
        <f t="shared" si="69"/>
        <v>2250000</v>
      </c>
      <c r="N42" s="31">
        <f t="shared" si="69"/>
        <v>2250000</v>
      </c>
      <c r="O42" s="31"/>
      <c r="P42" s="31">
        <f t="shared" si="69"/>
        <v>2250000</v>
      </c>
      <c r="Q42" s="31">
        <f t="shared" si="69"/>
        <v>2250000</v>
      </c>
      <c r="R42" s="31"/>
      <c r="S42" s="31">
        <f t="shared" si="69"/>
        <v>2250000</v>
      </c>
      <c r="T42" s="76"/>
      <c r="U42" s="13">
        <f t="shared" si="50"/>
        <v>11250000</v>
      </c>
      <c r="V42" s="13">
        <f t="shared" si="51"/>
        <v>0</v>
      </c>
      <c r="W42" s="194">
        <f t="shared" si="52"/>
        <v>11250000</v>
      </c>
      <c r="X42" s="76">
        <f t="shared" ref="X42" si="70">E42+H42+K42-AB42</f>
        <v>6750000</v>
      </c>
      <c r="Y42" s="76">
        <f t="shared" ref="Y42" si="71">F42+I42+L42-AC42</f>
        <v>0</v>
      </c>
      <c r="Z42" s="203">
        <f>G42+J42+M42-AD42</f>
        <v>6750000</v>
      </c>
      <c r="AA42" s="76"/>
      <c r="AB42" s="76"/>
      <c r="AC42" s="76"/>
      <c r="AD42" s="198"/>
      <c r="AE42" s="31">
        <f t="shared" ref="AE42:AE43" si="72">N42+Q42</f>
        <v>4500000</v>
      </c>
      <c r="AF42" s="21">
        <f t="shared" ref="AF42:AF43" si="73">O42+R42</f>
        <v>0</v>
      </c>
      <c r="AG42" s="20">
        <f t="shared" ref="AG42:AG43" si="74">P42+S42</f>
        <v>4500000</v>
      </c>
      <c r="AH42" s="1"/>
      <c r="AI42" s="21">
        <f t="shared" si="56"/>
        <v>0</v>
      </c>
      <c r="AJ42" s="322">
        <f t="shared" si="5"/>
        <v>117187.5</v>
      </c>
      <c r="AL42" s="1" t="str">
        <f t="shared" si="68"/>
        <v>OK</v>
      </c>
    </row>
    <row r="43" spans="1:38" ht="31.5" x14ac:dyDescent="0.25">
      <c r="B43" s="114" t="s">
        <v>43</v>
      </c>
      <c r="C43" s="185" t="s">
        <v>274</v>
      </c>
      <c r="D43" s="9"/>
      <c r="E43" s="31">
        <f>(285500-8000)*96</f>
        <v>26640000</v>
      </c>
      <c r="F43" s="9"/>
      <c r="G43" s="31">
        <f>(285500-8000)*96</f>
        <v>26640000</v>
      </c>
      <c r="H43" s="31">
        <f>E43</f>
        <v>26640000</v>
      </c>
      <c r="I43" s="31"/>
      <c r="J43" s="31">
        <f>G43</f>
        <v>26640000</v>
      </c>
      <c r="K43" s="31">
        <f>H43-30000*96</f>
        <v>23760000</v>
      </c>
      <c r="L43" s="31"/>
      <c r="M43" s="31">
        <f>J43-30000*96</f>
        <v>23760000</v>
      </c>
      <c r="N43" s="31">
        <f>K43</f>
        <v>23760000</v>
      </c>
      <c r="O43" s="31"/>
      <c r="P43" s="31">
        <f>M43</f>
        <v>23760000</v>
      </c>
      <c r="Q43" s="31">
        <f>N43</f>
        <v>23760000</v>
      </c>
      <c r="R43" s="31"/>
      <c r="S43" s="31">
        <f>P43</f>
        <v>23760000</v>
      </c>
      <c r="T43" s="76"/>
      <c r="U43" s="13">
        <f t="shared" si="50"/>
        <v>124560000</v>
      </c>
      <c r="V43" s="13">
        <f t="shared" si="51"/>
        <v>0</v>
      </c>
      <c r="W43" s="194">
        <f t="shared" si="52"/>
        <v>124560000</v>
      </c>
      <c r="X43" s="76">
        <f t="shared" ref="X43:Y43" si="75">E43+H43+K43-AB43</f>
        <v>23760000</v>
      </c>
      <c r="Y43" s="76">
        <f t="shared" si="75"/>
        <v>0</v>
      </c>
      <c r="Z43" s="203">
        <f>G43+J43+M43-AD43</f>
        <v>23760000</v>
      </c>
      <c r="AA43" s="76"/>
      <c r="AB43" s="76">
        <f>AD43</f>
        <v>53280000</v>
      </c>
      <c r="AC43" s="76"/>
      <c r="AD43" s="198">
        <f>G43+J43</f>
        <v>53280000</v>
      </c>
      <c r="AE43" s="31">
        <f t="shared" si="72"/>
        <v>47520000</v>
      </c>
      <c r="AF43" s="21">
        <f t="shared" si="73"/>
        <v>0</v>
      </c>
      <c r="AG43" s="20">
        <f t="shared" si="74"/>
        <v>47520000</v>
      </c>
      <c r="AH43" s="1"/>
      <c r="AI43" s="21">
        <f t="shared" si="56"/>
        <v>0</v>
      </c>
      <c r="AJ43" s="322">
        <f t="shared" si="5"/>
        <v>1297500</v>
      </c>
      <c r="AL43" s="1" t="str">
        <f t="shared" si="68"/>
        <v>OK</v>
      </c>
    </row>
    <row r="44" spans="1:38" ht="15.75" x14ac:dyDescent="0.25">
      <c r="B44" s="98" t="s">
        <v>55</v>
      </c>
      <c r="C44" s="95"/>
      <c r="D44" s="97"/>
      <c r="E44" s="97">
        <f t="shared" ref="E44:R44" si="76">SUM(E32:E43)</f>
        <v>170038995.73333332</v>
      </c>
      <c r="F44" s="97">
        <f t="shared" si="76"/>
        <v>0</v>
      </c>
      <c r="G44" s="97">
        <f t="shared" si="76"/>
        <v>170038995.73333332</v>
      </c>
      <c r="H44" s="97">
        <f t="shared" si="76"/>
        <v>273837995.73333335</v>
      </c>
      <c r="I44" s="97">
        <f t="shared" si="76"/>
        <v>0</v>
      </c>
      <c r="J44" s="97">
        <f t="shared" si="76"/>
        <v>273837995.73333335</v>
      </c>
      <c r="K44" s="97">
        <f t="shared" si="76"/>
        <v>281382493.60000002</v>
      </c>
      <c r="L44" s="97">
        <f t="shared" si="76"/>
        <v>3900000</v>
      </c>
      <c r="M44" s="97">
        <f t="shared" si="76"/>
        <v>285282493.60000002</v>
      </c>
      <c r="N44" s="97">
        <f t="shared" si="76"/>
        <v>281382493.60000002</v>
      </c>
      <c r="O44" s="97">
        <f t="shared" si="76"/>
        <v>0</v>
      </c>
      <c r="P44" s="97">
        <f t="shared" si="76"/>
        <v>281382493.60000002</v>
      </c>
      <c r="Q44" s="97">
        <f t="shared" si="76"/>
        <v>283940324.80000001</v>
      </c>
      <c r="R44" s="97">
        <f t="shared" si="76"/>
        <v>3900000</v>
      </c>
      <c r="S44" s="97">
        <f t="shared" ref="S44:AG44" si="77">SUM(S32:S43)</f>
        <v>287840324.80000001</v>
      </c>
      <c r="T44" s="97"/>
      <c r="U44" s="97">
        <f>SUM(U32:U43)</f>
        <v>1290582303.4666667</v>
      </c>
      <c r="V44" s="97">
        <f t="shared" si="77"/>
        <v>7800000</v>
      </c>
      <c r="W44" s="191">
        <f>SUM(W32:W43)</f>
        <v>1298382303.4666667</v>
      </c>
      <c r="X44" s="97">
        <f t="shared" si="77"/>
        <v>478381485.0666666</v>
      </c>
      <c r="Y44" s="97">
        <f t="shared" si="77"/>
        <v>0</v>
      </c>
      <c r="Z44" s="200">
        <f>SUM(Z32:Z43)</f>
        <v>478381485.0666666</v>
      </c>
      <c r="AA44" s="97">
        <f t="shared" si="77"/>
        <v>5400000</v>
      </c>
      <c r="AB44" s="97">
        <f t="shared" si="77"/>
        <v>57180000</v>
      </c>
      <c r="AC44" s="97">
        <f t="shared" si="77"/>
        <v>0</v>
      </c>
      <c r="AD44" s="191">
        <f>SUM(AD32:AD43)</f>
        <v>62580000</v>
      </c>
      <c r="AE44" s="97">
        <f t="shared" si="77"/>
        <v>377124818.39999998</v>
      </c>
      <c r="AF44" s="97">
        <f t="shared" si="77"/>
        <v>3900000</v>
      </c>
      <c r="AG44" s="97">
        <f t="shared" si="77"/>
        <v>381024818.39999998</v>
      </c>
      <c r="AH44" s="1"/>
      <c r="AI44" s="97">
        <f>SUM(AI32:AI43)</f>
        <v>376396000</v>
      </c>
      <c r="AJ44" s="320">
        <f t="shared" si="5"/>
        <v>13524815.661111111</v>
      </c>
      <c r="AL44" s="1" t="str">
        <f t="shared" si="68"/>
        <v>OK</v>
      </c>
    </row>
    <row r="45" spans="1:38" ht="18.75" x14ac:dyDescent="0.25">
      <c r="B45" s="371" t="s">
        <v>225</v>
      </c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3"/>
      <c r="T45" s="45"/>
      <c r="U45" s="45"/>
      <c r="V45" s="45"/>
      <c r="W45" s="195"/>
      <c r="X45" s="187"/>
      <c r="Y45" s="46"/>
      <c r="Z45" s="201"/>
      <c r="AA45" s="187"/>
      <c r="AB45" s="46"/>
      <c r="AC45" s="46"/>
      <c r="AD45" s="192"/>
      <c r="AE45" s="187"/>
      <c r="AF45" s="46"/>
      <c r="AG45" s="46"/>
      <c r="AH45" s="1"/>
      <c r="AI45" s="46"/>
      <c r="AJ45" s="321"/>
      <c r="AL45" s="1" t="str">
        <f t="shared" si="68"/>
        <v>OK</v>
      </c>
    </row>
    <row r="46" spans="1:38" ht="31.5" x14ac:dyDescent="0.25">
      <c r="B46" s="115" t="s">
        <v>179</v>
      </c>
      <c r="C46" s="38"/>
      <c r="D46" s="87"/>
      <c r="E46" s="87"/>
      <c r="F46" s="274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89"/>
      <c r="X46" s="41"/>
      <c r="Y46" s="41"/>
      <c r="Z46" s="202"/>
      <c r="AA46" s="41"/>
      <c r="AB46" s="41"/>
      <c r="AC46" s="41"/>
      <c r="AD46" s="189"/>
      <c r="AE46" s="41"/>
      <c r="AF46" s="71"/>
      <c r="AG46" s="71"/>
      <c r="AH46" s="1"/>
      <c r="AI46" s="71"/>
      <c r="AJ46" s="318"/>
      <c r="AL46" s="1" t="str">
        <f t="shared" si="68"/>
        <v>OK</v>
      </c>
    </row>
    <row r="47" spans="1:38" ht="31.5" x14ac:dyDescent="0.25">
      <c r="B47" s="114" t="s">
        <v>44</v>
      </c>
      <c r="C47" s="38" t="s">
        <v>255</v>
      </c>
      <c r="D47" s="139"/>
      <c r="E47" s="272">
        <f>400000000*(1/3)</f>
        <v>133333333.33333333</v>
      </c>
      <c r="F47" s="277"/>
      <c r="G47" s="33">
        <f>400000000*(1/3)</f>
        <v>133333333.33333333</v>
      </c>
      <c r="H47" s="140">
        <f>430000000*(1/3)</f>
        <v>143333333.33333331</v>
      </c>
      <c r="I47" s="140"/>
      <c r="J47" s="140">
        <f>430000000*(1/3)</f>
        <v>143333333.33333331</v>
      </c>
      <c r="K47" s="140">
        <f>450000000*(1/3)</f>
        <v>150000000</v>
      </c>
      <c r="L47" s="140"/>
      <c r="M47" s="140">
        <f>450000000*(1/3)</f>
        <v>150000000</v>
      </c>
      <c r="N47" s="140">
        <f>450000000*(1/3)</f>
        <v>150000000</v>
      </c>
      <c r="O47" s="140"/>
      <c r="P47" s="140">
        <f>450000000*(1/3)</f>
        <v>150000000</v>
      </c>
      <c r="Q47" s="140">
        <f>450000000*(1/3)</f>
        <v>150000000</v>
      </c>
      <c r="R47" s="140"/>
      <c r="S47" s="140">
        <f>450000000*(1/3)</f>
        <v>150000000</v>
      </c>
      <c r="T47" s="76"/>
      <c r="U47" s="13">
        <f t="shared" si="50"/>
        <v>726666666.66666663</v>
      </c>
      <c r="V47" s="13">
        <f t="shared" si="51"/>
        <v>0</v>
      </c>
      <c r="W47" s="194">
        <f t="shared" si="52"/>
        <v>726666666.66666663</v>
      </c>
      <c r="X47" s="76">
        <f t="shared" ref="X47:X48" si="78">E47+H47+K47-AB47</f>
        <v>426666666.66666663</v>
      </c>
      <c r="Y47" s="76">
        <f t="shared" ref="Y47:Y48" si="79">F47+I47+L47-AC47</f>
        <v>0</v>
      </c>
      <c r="Z47" s="203">
        <f t="shared" ref="Z47:Z48" si="80">G47+J47+M47-AD47</f>
        <v>426666666.66666663</v>
      </c>
      <c r="AA47" s="76"/>
      <c r="AB47" s="76"/>
      <c r="AC47" s="76"/>
      <c r="AD47" s="198"/>
      <c r="AE47" s="31">
        <f t="shared" ref="AE47:AE48" si="81">N47+Q47</f>
        <v>300000000</v>
      </c>
      <c r="AF47" s="21">
        <f t="shared" ref="AF47:AF48" si="82">O47+R47</f>
        <v>0</v>
      </c>
      <c r="AG47" s="20">
        <f t="shared" ref="AG47:AG48" si="83">P47+S47</f>
        <v>300000000</v>
      </c>
      <c r="AH47" s="1"/>
      <c r="AI47" s="21">
        <f t="shared" ref="AI47:AI48" si="84">W47-Z47-AD47-AG47</f>
        <v>0</v>
      </c>
      <c r="AJ47" s="322">
        <f t="shared" si="5"/>
        <v>7569444.444444444</v>
      </c>
      <c r="AL47" s="1" t="str">
        <f t="shared" si="68"/>
        <v>OK</v>
      </c>
    </row>
    <row r="48" spans="1:38" ht="15.75" x14ac:dyDescent="0.25">
      <c r="B48" s="158" t="s">
        <v>173</v>
      </c>
      <c r="C48" s="38" t="s">
        <v>253</v>
      </c>
      <c r="D48" s="139">
        <v>287046</v>
      </c>
      <c r="E48" s="273">
        <v>120121050</v>
      </c>
      <c r="F48" s="276"/>
      <c r="G48" s="31">
        <v>120121050</v>
      </c>
      <c r="H48" s="31">
        <v>129170550</v>
      </c>
      <c r="I48" s="31"/>
      <c r="J48" s="31">
        <v>129170550</v>
      </c>
      <c r="K48" s="31">
        <v>129170550</v>
      </c>
      <c r="L48" s="31"/>
      <c r="M48" s="31">
        <v>129170550</v>
      </c>
      <c r="N48" s="31">
        <v>129170550</v>
      </c>
      <c r="O48" s="31"/>
      <c r="P48" s="31">
        <v>129170550</v>
      </c>
      <c r="Q48" s="31">
        <v>129170550</v>
      </c>
      <c r="R48" s="31"/>
      <c r="S48" s="31">
        <v>129170550</v>
      </c>
      <c r="T48" s="76"/>
      <c r="U48" s="13">
        <f t="shared" si="50"/>
        <v>636803250</v>
      </c>
      <c r="V48" s="13">
        <f t="shared" si="51"/>
        <v>0</v>
      </c>
      <c r="W48" s="194">
        <f t="shared" si="52"/>
        <v>636803250</v>
      </c>
      <c r="X48" s="76">
        <f t="shared" si="78"/>
        <v>378462150</v>
      </c>
      <c r="Y48" s="76">
        <f t="shared" si="79"/>
        <v>0</v>
      </c>
      <c r="Z48" s="203">
        <f t="shared" si="80"/>
        <v>378462150</v>
      </c>
      <c r="AA48" s="76"/>
      <c r="AB48" s="76"/>
      <c r="AC48" s="76"/>
      <c r="AD48" s="198"/>
      <c r="AE48" s="31">
        <f t="shared" si="81"/>
        <v>258341100</v>
      </c>
      <c r="AF48" s="21">
        <f t="shared" si="82"/>
        <v>0</v>
      </c>
      <c r="AG48" s="20">
        <f t="shared" si="83"/>
        <v>258341100</v>
      </c>
      <c r="AH48" s="1"/>
      <c r="AI48" s="21">
        <f t="shared" si="84"/>
        <v>0</v>
      </c>
      <c r="AJ48" s="322">
        <f t="shared" si="5"/>
        <v>6633367.1875</v>
      </c>
      <c r="AL48" s="1" t="str">
        <f t="shared" si="68"/>
        <v>OK</v>
      </c>
    </row>
    <row r="49" spans="2:38" ht="31.5" x14ac:dyDescent="0.25">
      <c r="B49" s="115" t="s">
        <v>180</v>
      </c>
      <c r="C49" s="38"/>
      <c r="D49" s="87"/>
      <c r="E49" s="87"/>
      <c r="F49" s="27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13">
        <f t="shared" si="50"/>
        <v>0</v>
      </c>
      <c r="V49" s="13">
        <f t="shared" si="51"/>
        <v>0</v>
      </c>
      <c r="W49" s="194">
        <f t="shared" si="52"/>
        <v>0</v>
      </c>
      <c r="X49" s="41"/>
      <c r="Y49" s="41"/>
      <c r="Z49" s="202"/>
      <c r="AA49" s="41"/>
      <c r="AB49" s="41"/>
      <c r="AC49" s="41"/>
      <c r="AD49" s="189"/>
      <c r="AE49" s="41"/>
      <c r="AF49" s="71"/>
      <c r="AG49" s="71"/>
      <c r="AH49" s="1"/>
      <c r="AI49" s="71"/>
      <c r="AJ49" s="318"/>
      <c r="AL49" s="1" t="str">
        <f t="shared" si="68"/>
        <v>OK</v>
      </c>
    </row>
    <row r="50" spans="2:38" ht="31.5" x14ac:dyDescent="0.25">
      <c r="B50" s="114" t="s">
        <v>45</v>
      </c>
      <c r="C50" s="38" t="s">
        <v>255</v>
      </c>
      <c r="D50" s="9"/>
      <c r="E50" s="31">
        <f>90000*30+50000*30</f>
        <v>4200000</v>
      </c>
      <c r="F50" s="9"/>
      <c r="G50" s="31">
        <f>90000*30+50000*30</f>
        <v>4200000</v>
      </c>
      <c r="H50" s="31">
        <f>500*500*96</f>
        <v>24000000</v>
      </c>
      <c r="I50" s="31"/>
      <c r="J50" s="31">
        <f>500*500*96</f>
        <v>24000000</v>
      </c>
      <c r="K50" s="31">
        <f t="shared" ref="K50:S50" si="85">500*500*96</f>
        <v>24000000</v>
      </c>
      <c r="L50" s="31"/>
      <c r="M50" s="31">
        <f t="shared" si="85"/>
        <v>24000000</v>
      </c>
      <c r="N50" s="31">
        <f t="shared" si="85"/>
        <v>24000000</v>
      </c>
      <c r="O50" s="31"/>
      <c r="P50" s="31">
        <f t="shared" si="85"/>
        <v>24000000</v>
      </c>
      <c r="Q50" s="31">
        <f t="shared" si="85"/>
        <v>24000000</v>
      </c>
      <c r="R50" s="31"/>
      <c r="S50" s="31">
        <f t="shared" si="85"/>
        <v>24000000</v>
      </c>
      <c r="T50" s="76"/>
      <c r="U50" s="13">
        <f t="shared" si="50"/>
        <v>100200000</v>
      </c>
      <c r="V50" s="13">
        <f t="shared" si="51"/>
        <v>0</v>
      </c>
      <c r="W50" s="194">
        <f t="shared" si="52"/>
        <v>100200000</v>
      </c>
      <c r="X50" s="76">
        <v>0</v>
      </c>
      <c r="Y50" s="76">
        <f t="shared" ref="Y50" si="86">F50+I50+L50-AC50</f>
        <v>0</v>
      </c>
      <c r="Z50" s="203">
        <v>0</v>
      </c>
      <c r="AA50" s="76">
        <v>4200000</v>
      </c>
      <c r="AB50" s="76"/>
      <c r="AC50" s="76"/>
      <c r="AD50" s="198">
        <f>G50</f>
        <v>4200000</v>
      </c>
      <c r="AE50" s="31">
        <v>0</v>
      </c>
      <c r="AF50" s="21">
        <f t="shared" ref="AF50" si="87">O50+R50</f>
        <v>0</v>
      </c>
      <c r="AG50" s="20">
        <v>0</v>
      </c>
      <c r="AH50" s="1"/>
      <c r="AI50" s="21">
        <f t="shared" ref="AI50" si="88">W50-Z50-AD50-AG50</f>
        <v>96000000</v>
      </c>
      <c r="AJ50" s="322">
        <f t="shared" si="5"/>
        <v>1043750</v>
      </c>
      <c r="AL50" s="1" t="str">
        <f t="shared" si="68"/>
        <v>OK</v>
      </c>
    </row>
    <row r="51" spans="2:38" ht="15.75" x14ac:dyDescent="0.25">
      <c r="B51" s="115" t="s">
        <v>181</v>
      </c>
      <c r="C51" s="38"/>
      <c r="D51" s="87"/>
      <c r="E51" s="41"/>
      <c r="F51" s="87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13">
        <f t="shared" si="50"/>
        <v>0</v>
      </c>
      <c r="V51" s="13">
        <f t="shared" si="51"/>
        <v>0</v>
      </c>
      <c r="W51" s="194">
        <f t="shared" si="52"/>
        <v>0</v>
      </c>
      <c r="X51" s="41"/>
      <c r="Y51" s="41"/>
      <c r="Z51" s="202"/>
      <c r="AA51" s="41"/>
      <c r="AB51" s="41"/>
      <c r="AC51" s="41"/>
      <c r="AD51" s="189"/>
      <c r="AE51" s="41"/>
      <c r="AF51" s="71"/>
      <c r="AG51" s="71"/>
      <c r="AH51" s="1"/>
      <c r="AI51" s="71"/>
      <c r="AJ51" s="318">
        <f t="shared" si="5"/>
        <v>0</v>
      </c>
      <c r="AL51" s="1" t="str">
        <f t="shared" si="68"/>
        <v>OK</v>
      </c>
    </row>
    <row r="52" spans="2:38" ht="47.25" x14ac:dyDescent="0.25">
      <c r="B52" s="114" t="s">
        <v>46</v>
      </c>
      <c r="C52" s="38" t="s">
        <v>266</v>
      </c>
      <c r="D52" s="9"/>
      <c r="E52" s="76"/>
      <c r="F52" s="9"/>
      <c r="G52" s="76"/>
      <c r="H52" s="31">
        <f>90000*30+50000*30</f>
        <v>4200000</v>
      </c>
      <c r="I52" s="76"/>
      <c r="J52" s="31">
        <f>90000*30+50000*30</f>
        <v>4200000</v>
      </c>
      <c r="K52" s="31">
        <f>50*700*96</f>
        <v>3360000</v>
      </c>
      <c r="L52" s="31"/>
      <c r="M52" s="31">
        <f>50*700*96</f>
        <v>3360000</v>
      </c>
      <c r="N52" s="31">
        <f>80*700*96</f>
        <v>5376000</v>
      </c>
      <c r="O52" s="31"/>
      <c r="P52" s="31">
        <f>80*700*96</f>
        <v>5376000</v>
      </c>
      <c r="Q52" s="31">
        <f>80*700*96</f>
        <v>5376000</v>
      </c>
      <c r="R52" s="31"/>
      <c r="S52" s="31">
        <f>80*700*96</f>
        <v>5376000</v>
      </c>
      <c r="T52" s="76"/>
      <c r="U52" s="13">
        <f t="shared" si="50"/>
        <v>18312000</v>
      </c>
      <c r="V52" s="13">
        <f t="shared" si="51"/>
        <v>0</v>
      </c>
      <c r="W52" s="194">
        <f t="shared" si="52"/>
        <v>18312000</v>
      </c>
      <c r="X52" s="76">
        <v>0</v>
      </c>
      <c r="Y52" s="76">
        <f t="shared" ref="Y52" si="89">F52+I52+L52-AC52</f>
        <v>0</v>
      </c>
      <c r="Z52" s="203">
        <v>0</v>
      </c>
      <c r="AA52" s="76"/>
      <c r="AB52" s="76"/>
      <c r="AC52" s="76"/>
      <c r="AD52" s="198"/>
      <c r="AE52" s="31">
        <v>0</v>
      </c>
      <c r="AF52" s="21">
        <f t="shared" ref="AF52" si="90">O52+R52</f>
        <v>0</v>
      </c>
      <c r="AG52" s="20">
        <v>0</v>
      </c>
      <c r="AH52" s="1"/>
      <c r="AI52" s="21">
        <f t="shared" ref="AI52" si="91">W52-Z52-AD52-AG52</f>
        <v>18312000</v>
      </c>
      <c r="AJ52" s="322">
        <f t="shared" si="5"/>
        <v>190750</v>
      </c>
      <c r="AL52" s="1" t="str">
        <f t="shared" si="68"/>
        <v>OK</v>
      </c>
    </row>
    <row r="53" spans="2:38" ht="15.75" x14ac:dyDescent="0.25">
      <c r="B53" s="98" t="s">
        <v>54</v>
      </c>
      <c r="C53" s="95"/>
      <c r="D53" s="96"/>
      <c r="E53" s="97">
        <f t="shared" ref="E53:H53" si="92">SUM(E46:E52)</f>
        <v>257654383.33333331</v>
      </c>
      <c r="F53" s="96"/>
      <c r="G53" s="97">
        <f t="shared" si="92"/>
        <v>257654383.33333331</v>
      </c>
      <c r="H53" s="97">
        <f t="shared" si="92"/>
        <v>300703883.33333331</v>
      </c>
      <c r="I53" s="97"/>
      <c r="J53" s="97">
        <f t="shared" ref="J53:S53" si="93">SUM(J46:J52)</f>
        <v>300703883.33333331</v>
      </c>
      <c r="K53" s="97">
        <f t="shared" si="93"/>
        <v>306530550</v>
      </c>
      <c r="L53" s="97"/>
      <c r="M53" s="97">
        <f t="shared" si="93"/>
        <v>306530550</v>
      </c>
      <c r="N53" s="97">
        <f t="shared" ref="N53:Q53" si="94">SUM(N46:N52)</f>
        <v>308546550</v>
      </c>
      <c r="O53" s="97"/>
      <c r="P53" s="97">
        <f t="shared" si="93"/>
        <v>308546550</v>
      </c>
      <c r="Q53" s="97">
        <f t="shared" si="94"/>
        <v>308546550</v>
      </c>
      <c r="R53" s="97"/>
      <c r="S53" s="97">
        <f t="shared" si="93"/>
        <v>308546550</v>
      </c>
      <c r="T53" s="97"/>
      <c r="U53" s="97">
        <f t="shared" si="50"/>
        <v>1481981916.6666665</v>
      </c>
      <c r="V53" s="97">
        <f t="shared" si="51"/>
        <v>0</v>
      </c>
      <c r="W53" s="191">
        <f t="shared" si="52"/>
        <v>1481981916.6666665</v>
      </c>
      <c r="X53" s="97">
        <f>SUM(X47:X52)</f>
        <v>805128816.66666663</v>
      </c>
      <c r="Y53" s="97">
        <f t="shared" ref="Y53:Z53" si="95">SUM(Y47:Y52)</f>
        <v>0</v>
      </c>
      <c r="Z53" s="200">
        <f t="shared" si="95"/>
        <v>805128816.66666663</v>
      </c>
      <c r="AA53" s="97">
        <f t="shared" ref="AA53" si="96">SUM(AA46:AA52)</f>
        <v>4200000</v>
      </c>
      <c r="AB53" s="97">
        <f t="shared" ref="AB53" si="97">SUM(AB46:AB52)</f>
        <v>0</v>
      </c>
      <c r="AC53" s="97"/>
      <c r="AD53" s="191">
        <f t="shared" ref="AD53:AG53" si="98">SUM(AD46:AD52)</f>
        <v>4200000</v>
      </c>
      <c r="AE53" s="97">
        <f t="shared" si="98"/>
        <v>558341100</v>
      </c>
      <c r="AF53" s="97">
        <f t="shared" si="98"/>
        <v>0</v>
      </c>
      <c r="AG53" s="97">
        <f t="shared" si="98"/>
        <v>558341100</v>
      </c>
      <c r="AH53" s="1"/>
      <c r="AI53" s="97">
        <f t="shared" ref="AI53" si="99">SUM(AI46:AI52)</f>
        <v>114312000</v>
      </c>
      <c r="AJ53" s="320">
        <f t="shared" si="5"/>
        <v>15437311.631944442</v>
      </c>
      <c r="AL53" s="1" t="str">
        <f t="shared" si="68"/>
        <v>OK</v>
      </c>
    </row>
    <row r="54" spans="2:38" ht="18.75" x14ac:dyDescent="0.25">
      <c r="B54" s="371" t="s">
        <v>227</v>
      </c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3"/>
      <c r="T54" s="45"/>
      <c r="U54" s="45"/>
      <c r="V54" s="45"/>
      <c r="W54" s="195"/>
      <c r="X54" s="187"/>
      <c r="Y54" s="46"/>
      <c r="Z54" s="201"/>
      <c r="AA54" s="187"/>
      <c r="AB54" s="46"/>
      <c r="AC54" s="46"/>
      <c r="AD54" s="192"/>
      <c r="AE54" s="187"/>
      <c r="AF54" s="46"/>
      <c r="AG54" s="46"/>
      <c r="AH54" s="1"/>
      <c r="AI54" s="46"/>
      <c r="AJ54" s="321"/>
      <c r="AL54" s="1" t="str">
        <f t="shared" si="68"/>
        <v>OK</v>
      </c>
    </row>
    <row r="55" spans="2:38" ht="31.5" x14ac:dyDescent="0.25">
      <c r="B55" s="115" t="s">
        <v>182</v>
      </c>
      <c r="C55" s="38"/>
      <c r="D55" s="87"/>
      <c r="E55" s="87"/>
      <c r="F55" s="87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13">
        <f t="shared" si="50"/>
        <v>0</v>
      </c>
      <c r="V55" s="13">
        <f t="shared" si="51"/>
        <v>0</v>
      </c>
      <c r="W55" s="194">
        <f t="shared" si="52"/>
        <v>0</v>
      </c>
      <c r="X55" s="41"/>
      <c r="Y55" s="41"/>
      <c r="Z55" s="202"/>
      <c r="AA55" s="41"/>
      <c r="AB55" s="41"/>
      <c r="AC55" s="41"/>
      <c r="AD55" s="189"/>
      <c r="AE55" s="41"/>
      <c r="AF55" s="71"/>
      <c r="AG55" s="71"/>
      <c r="AH55" s="1"/>
      <c r="AI55" s="71">
        <f t="shared" ref="AI55:AI64" si="100">W55-Z55-AD55</f>
        <v>0</v>
      </c>
      <c r="AJ55" s="318">
        <f t="shared" si="5"/>
        <v>0</v>
      </c>
      <c r="AL55" s="1" t="str">
        <f t="shared" si="68"/>
        <v>OK</v>
      </c>
    </row>
    <row r="56" spans="2:38" ht="31.5" x14ac:dyDescent="0.25">
      <c r="B56" s="114" t="s">
        <v>47</v>
      </c>
      <c r="C56" s="38" t="s">
        <v>257</v>
      </c>
      <c r="D56" s="9"/>
      <c r="E56" s="9"/>
      <c r="F56" s="9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76"/>
      <c r="U56" s="13">
        <f t="shared" si="50"/>
        <v>0</v>
      </c>
      <c r="V56" s="13">
        <f t="shared" si="51"/>
        <v>0</v>
      </c>
      <c r="W56" s="194">
        <f t="shared" si="52"/>
        <v>0</v>
      </c>
      <c r="X56" s="113"/>
      <c r="Y56" s="113"/>
      <c r="Z56" s="203">
        <f>W56</f>
        <v>0</v>
      </c>
      <c r="AA56" s="76"/>
      <c r="AB56" s="76"/>
      <c r="AC56" s="76"/>
      <c r="AD56" s="198"/>
      <c r="AE56" s="76"/>
      <c r="AF56" s="20"/>
      <c r="AG56" s="20"/>
      <c r="AH56" s="1"/>
      <c r="AI56" s="20">
        <f t="shared" si="100"/>
        <v>0</v>
      </c>
      <c r="AJ56" s="319">
        <f t="shared" si="5"/>
        <v>0</v>
      </c>
      <c r="AL56" s="1" t="str">
        <f t="shared" si="68"/>
        <v>OK</v>
      </c>
    </row>
    <row r="57" spans="2:38" ht="15.75" x14ac:dyDescent="0.25">
      <c r="B57" s="114" t="s">
        <v>48</v>
      </c>
      <c r="C57" s="38" t="s">
        <v>258</v>
      </c>
      <c r="D57" s="9"/>
      <c r="E57" s="9"/>
      <c r="F57" s="9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76"/>
      <c r="U57" s="13">
        <f t="shared" si="50"/>
        <v>0</v>
      </c>
      <c r="V57" s="13">
        <f t="shared" si="51"/>
        <v>0</v>
      </c>
      <c r="W57" s="194">
        <f t="shared" si="52"/>
        <v>0</v>
      </c>
      <c r="X57" s="113"/>
      <c r="Y57" s="113"/>
      <c r="Z57" s="203">
        <f>W57</f>
        <v>0</v>
      </c>
      <c r="AA57" s="76"/>
      <c r="AB57" s="76"/>
      <c r="AC57" s="76"/>
      <c r="AD57" s="198"/>
      <c r="AE57" s="76"/>
      <c r="AF57" s="20"/>
      <c r="AG57" s="20"/>
      <c r="AH57" s="1"/>
      <c r="AI57" s="20">
        <f t="shared" si="100"/>
        <v>0</v>
      </c>
      <c r="AJ57" s="319">
        <f t="shared" si="5"/>
        <v>0</v>
      </c>
      <c r="AL57" s="1" t="str">
        <f t="shared" si="68"/>
        <v>OK</v>
      </c>
    </row>
    <row r="58" spans="2:38" ht="15.75" x14ac:dyDescent="0.25">
      <c r="B58" s="141" t="s">
        <v>167</v>
      </c>
      <c r="C58" s="38" t="s">
        <v>258</v>
      </c>
      <c r="D58" s="9"/>
      <c r="E58" s="9"/>
      <c r="F58" s="9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13">
        <f t="shared" si="50"/>
        <v>0</v>
      </c>
      <c r="V58" s="13">
        <f t="shared" si="51"/>
        <v>0</v>
      </c>
      <c r="W58" s="194">
        <f t="shared" si="52"/>
        <v>0</v>
      </c>
      <c r="X58" s="113"/>
      <c r="Y58" s="113"/>
      <c r="Z58" s="203"/>
      <c r="AA58" s="76"/>
      <c r="AB58" s="76"/>
      <c r="AC58" s="76"/>
      <c r="AD58" s="198"/>
      <c r="AE58" s="76"/>
      <c r="AF58" s="20"/>
      <c r="AG58" s="20"/>
      <c r="AH58" s="1"/>
      <c r="AI58" s="20">
        <f t="shared" si="100"/>
        <v>0</v>
      </c>
      <c r="AJ58" s="319">
        <f t="shared" si="5"/>
        <v>0</v>
      </c>
      <c r="AL58" s="1" t="str">
        <f t="shared" si="68"/>
        <v>OK</v>
      </c>
    </row>
    <row r="59" spans="2:38" ht="63" x14ac:dyDescent="0.25">
      <c r="B59" s="115" t="s">
        <v>183</v>
      </c>
      <c r="C59" s="154" t="s">
        <v>255</v>
      </c>
      <c r="D59" s="87"/>
      <c r="E59" s="87"/>
      <c r="F59" s="87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13">
        <f t="shared" si="50"/>
        <v>0</v>
      </c>
      <c r="V59" s="13">
        <f t="shared" si="51"/>
        <v>0</v>
      </c>
      <c r="W59" s="194">
        <f t="shared" si="52"/>
        <v>0</v>
      </c>
      <c r="X59" s="41"/>
      <c r="Y59" s="41"/>
      <c r="Z59" s="202"/>
      <c r="AA59" s="41"/>
      <c r="AB59" s="41"/>
      <c r="AC59" s="41"/>
      <c r="AD59" s="189"/>
      <c r="AE59" s="41"/>
      <c r="AF59" s="71"/>
      <c r="AG59" s="71"/>
      <c r="AH59" s="1"/>
      <c r="AI59" s="71">
        <f t="shared" ref="AI59" si="101">W59-Z59-AD59</f>
        <v>0</v>
      </c>
      <c r="AJ59" s="318">
        <f t="shared" si="5"/>
        <v>0</v>
      </c>
      <c r="AL59" s="1" t="str">
        <f t="shared" si="68"/>
        <v>OK</v>
      </c>
    </row>
    <row r="60" spans="2:38" ht="31.5" x14ac:dyDescent="0.25">
      <c r="B60" s="114" t="s">
        <v>49</v>
      </c>
      <c r="C60" s="38" t="s">
        <v>258</v>
      </c>
      <c r="D60" s="9"/>
      <c r="E60" s="9"/>
      <c r="F60" s="9"/>
      <c r="G60" s="76"/>
      <c r="H60" s="76"/>
      <c r="I60" s="76"/>
      <c r="J60" s="31"/>
      <c r="K60" s="31"/>
      <c r="L60" s="31"/>
      <c r="M60" s="31"/>
      <c r="N60" s="31"/>
      <c r="O60" s="31"/>
      <c r="P60" s="31"/>
      <c r="Q60" s="31"/>
      <c r="R60" s="31"/>
      <c r="S60" s="76"/>
      <c r="T60" s="76"/>
      <c r="U60" s="13">
        <f t="shared" si="50"/>
        <v>0</v>
      </c>
      <c r="V60" s="13">
        <f t="shared" si="51"/>
        <v>0</v>
      </c>
      <c r="W60" s="194">
        <f t="shared" si="52"/>
        <v>0</v>
      </c>
      <c r="X60" s="113"/>
      <c r="Y60" s="113"/>
      <c r="Z60" s="203"/>
      <c r="AA60" s="76"/>
      <c r="AB60" s="76"/>
      <c r="AC60" s="76"/>
      <c r="AD60" s="198"/>
      <c r="AE60" s="76"/>
      <c r="AF60" s="20"/>
      <c r="AG60" s="20"/>
      <c r="AH60" s="1"/>
      <c r="AI60" s="20">
        <f t="shared" si="100"/>
        <v>0</v>
      </c>
      <c r="AJ60" s="319">
        <f t="shared" si="5"/>
        <v>0</v>
      </c>
      <c r="AL60" s="1" t="str">
        <f t="shared" si="68"/>
        <v>OK</v>
      </c>
    </row>
    <row r="61" spans="2:38" ht="31.5" x14ac:dyDescent="0.25">
      <c r="B61" s="114" t="s">
        <v>50</v>
      </c>
      <c r="C61" s="38" t="s">
        <v>260</v>
      </c>
      <c r="D61" s="9"/>
      <c r="E61" s="9"/>
      <c r="F61" s="9"/>
      <c r="G61" s="76"/>
      <c r="H61" s="31">
        <f>50000*96</f>
        <v>4800000</v>
      </c>
      <c r="I61" s="76"/>
      <c r="J61" s="76">
        <f>50000*96</f>
        <v>4800000</v>
      </c>
      <c r="K61" s="31">
        <f t="shared" ref="K61:S61" si="102">50000*96</f>
        <v>4800000</v>
      </c>
      <c r="L61" s="76"/>
      <c r="M61" s="76">
        <f t="shared" si="102"/>
        <v>4800000</v>
      </c>
      <c r="N61" s="76">
        <f t="shared" si="102"/>
        <v>4800000</v>
      </c>
      <c r="O61" s="76"/>
      <c r="P61" s="76">
        <f t="shared" si="102"/>
        <v>4800000</v>
      </c>
      <c r="Q61" s="76">
        <f t="shared" si="102"/>
        <v>4800000</v>
      </c>
      <c r="R61" s="76"/>
      <c r="S61" s="76">
        <f t="shared" si="102"/>
        <v>4800000</v>
      </c>
      <c r="T61" s="76"/>
      <c r="U61" s="13">
        <f t="shared" si="50"/>
        <v>19200000</v>
      </c>
      <c r="V61" s="13">
        <f t="shared" si="51"/>
        <v>0</v>
      </c>
      <c r="W61" s="194">
        <f t="shared" si="52"/>
        <v>19200000</v>
      </c>
      <c r="X61" s="113"/>
      <c r="Y61" s="113"/>
      <c r="Z61" s="203"/>
      <c r="AA61" s="76">
        <v>9600000</v>
      </c>
      <c r="AB61" s="76"/>
      <c r="AC61" s="76"/>
      <c r="AD61" s="198">
        <f>W61/2</f>
        <v>9600000</v>
      </c>
      <c r="AE61" s="76"/>
      <c r="AF61" s="20"/>
      <c r="AG61" s="20"/>
      <c r="AH61" s="1"/>
      <c r="AI61" s="20">
        <f t="shared" si="100"/>
        <v>9600000</v>
      </c>
      <c r="AJ61" s="319">
        <f t="shared" si="5"/>
        <v>200000</v>
      </c>
      <c r="AL61" s="1" t="str">
        <f t="shared" si="68"/>
        <v>OK</v>
      </c>
    </row>
    <row r="62" spans="2:38" ht="31.5" x14ac:dyDescent="0.25">
      <c r="B62" s="115" t="s">
        <v>51</v>
      </c>
      <c r="C62" s="38"/>
      <c r="D62" s="87"/>
      <c r="E62" s="87"/>
      <c r="F62" s="87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13">
        <f t="shared" si="50"/>
        <v>0</v>
      </c>
      <c r="V62" s="13">
        <f t="shared" si="51"/>
        <v>0</v>
      </c>
      <c r="W62" s="194">
        <f t="shared" si="52"/>
        <v>0</v>
      </c>
      <c r="X62" s="41"/>
      <c r="Y62" s="41"/>
      <c r="Z62" s="202"/>
      <c r="AA62" s="41"/>
      <c r="AB62" s="41"/>
      <c r="AC62" s="41"/>
      <c r="AD62" s="189"/>
      <c r="AE62" s="41"/>
      <c r="AF62" s="71"/>
      <c r="AG62" s="71"/>
      <c r="AH62" s="1"/>
      <c r="AI62" s="71">
        <f t="shared" ref="AI62" si="103">W62-Z62-AD62</f>
        <v>0</v>
      </c>
      <c r="AJ62" s="318">
        <f t="shared" si="5"/>
        <v>0</v>
      </c>
      <c r="AL62" s="1" t="str">
        <f t="shared" si="68"/>
        <v>OK</v>
      </c>
    </row>
    <row r="63" spans="2:38" ht="47.25" x14ac:dyDescent="0.25">
      <c r="B63" s="141" t="s">
        <v>52</v>
      </c>
      <c r="C63" s="38" t="s">
        <v>259</v>
      </c>
      <c r="D63" s="9"/>
      <c r="E63" s="9"/>
      <c r="F63" s="9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13">
        <f t="shared" si="50"/>
        <v>0</v>
      </c>
      <c r="V63" s="13">
        <f t="shared" si="51"/>
        <v>0</v>
      </c>
      <c r="W63" s="194">
        <f t="shared" si="52"/>
        <v>0</v>
      </c>
      <c r="X63" s="113"/>
      <c r="Y63" s="113"/>
      <c r="Z63" s="203"/>
      <c r="AA63" s="76"/>
      <c r="AB63" s="76"/>
      <c r="AC63" s="76"/>
      <c r="AD63" s="198"/>
      <c r="AE63" s="76"/>
      <c r="AF63" s="20"/>
      <c r="AG63" s="20"/>
      <c r="AH63" s="1"/>
      <c r="AI63" s="20">
        <f t="shared" si="100"/>
        <v>0</v>
      </c>
      <c r="AJ63" s="319">
        <f t="shared" si="5"/>
        <v>0</v>
      </c>
      <c r="AL63" s="1" t="str">
        <f t="shared" si="68"/>
        <v>OK</v>
      </c>
    </row>
    <row r="64" spans="2:38" ht="31.5" x14ac:dyDescent="0.25">
      <c r="B64" s="114" t="s">
        <v>53</v>
      </c>
      <c r="C64" s="38" t="s">
        <v>259</v>
      </c>
      <c r="D64" s="9"/>
      <c r="E64" s="31">
        <f>10000*500</f>
        <v>5000000</v>
      </c>
      <c r="F64" s="9"/>
      <c r="G64" s="31">
        <f>10000*500</f>
        <v>5000000</v>
      </c>
      <c r="H64" s="31">
        <f t="shared" ref="H64:S64" si="104">10000*500</f>
        <v>5000000</v>
      </c>
      <c r="I64" s="31"/>
      <c r="J64" s="31">
        <f t="shared" si="104"/>
        <v>5000000</v>
      </c>
      <c r="K64" s="31">
        <f t="shared" si="104"/>
        <v>5000000</v>
      </c>
      <c r="L64" s="31"/>
      <c r="M64" s="31">
        <f t="shared" si="104"/>
        <v>5000000</v>
      </c>
      <c r="N64" s="31">
        <f t="shared" si="104"/>
        <v>5000000</v>
      </c>
      <c r="O64" s="31"/>
      <c r="P64" s="31">
        <f t="shared" si="104"/>
        <v>5000000</v>
      </c>
      <c r="Q64" s="31">
        <f t="shared" si="104"/>
        <v>5000000</v>
      </c>
      <c r="R64" s="31"/>
      <c r="S64" s="31">
        <f t="shared" si="104"/>
        <v>5000000</v>
      </c>
      <c r="T64" s="76"/>
      <c r="U64" s="13">
        <f t="shared" si="50"/>
        <v>25000000</v>
      </c>
      <c r="V64" s="13">
        <f t="shared" si="51"/>
        <v>0</v>
      </c>
      <c r="W64" s="194">
        <f t="shared" si="52"/>
        <v>25000000</v>
      </c>
      <c r="X64" s="113"/>
      <c r="Y64" s="113"/>
      <c r="Z64" s="203"/>
      <c r="AA64" s="76">
        <v>25000000</v>
      </c>
      <c r="AB64" s="76"/>
      <c r="AC64" s="76"/>
      <c r="AD64" s="198">
        <f>W64</f>
        <v>25000000</v>
      </c>
      <c r="AE64" s="76"/>
      <c r="AF64" s="20"/>
      <c r="AG64" s="20"/>
      <c r="AH64" s="1"/>
      <c r="AI64" s="20">
        <f t="shared" si="100"/>
        <v>0</v>
      </c>
      <c r="AJ64" s="319">
        <f t="shared" si="5"/>
        <v>260416.66666666666</v>
      </c>
      <c r="AL64" s="1" t="str">
        <f t="shared" si="68"/>
        <v>OK</v>
      </c>
    </row>
    <row r="65" spans="1:38" ht="15.75" x14ac:dyDescent="0.25">
      <c r="B65" s="98" t="s">
        <v>56</v>
      </c>
      <c r="C65" s="95"/>
      <c r="D65" s="96"/>
      <c r="E65" s="97">
        <f>SUM(E55:E64)</f>
        <v>5000000</v>
      </c>
      <c r="F65" s="96"/>
      <c r="G65" s="97">
        <f>SUM(G55:G64)</f>
        <v>5000000</v>
      </c>
      <c r="H65" s="97">
        <f t="shared" ref="H65" si="105">SUM(H55:H64)</f>
        <v>9800000</v>
      </c>
      <c r="I65" s="97"/>
      <c r="J65" s="97">
        <f t="shared" ref="J65:AI65" si="106">SUM(J55:J64)</f>
        <v>9800000</v>
      </c>
      <c r="K65" s="97">
        <f t="shared" ref="K65" si="107">SUM(K55:K64)</f>
        <v>9800000</v>
      </c>
      <c r="L65" s="97"/>
      <c r="M65" s="97">
        <f t="shared" si="106"/>
        <v>9800000</v>
      </c>
      <c r="N65" s="97">
        <f t="shared" ref="N65" si="108">SUM(N55:N64)</f>
        <v>9800000</v>
      </c>
      <c r="O65" s="97"/>
      <c r="P65" s="97">
        <f t="shared" si="106"/>
        <v>9800000</v>
      </c>
      <c r="Q65" s="97">
        <f t="shared" ref="Q65" si="109">SUM(Q55:Q64)</f>
        <v>9800000</v>
      </c>
      <c r="R65" s="97"/>
      <c r="S65" s="97">
        <f t="shared" si="106"/>
        <v>9800000</v>
      </c>
      <c r="T65" s="97"/>
      <c r="U65" s="97">
        <f t="shared" si="106"/>
        <v>44200000</v>
      </c>
      <c r="V65" s="97">
        <f t="shared" si="106"/>
        <v>0</v>
      </c>
      <c r="W65" s="191">
        <f t="shared" si="106"/>
        <v>44200000</v>
      </c>
      <c r="X65" s="97"/>
      <c r="Y65" s="97"/>
      <c r="Z65" s="200">
        <f t="shared" si="106"/>
        <v>0</v>
      </c>
      <c r="AA65" s="97">
        <f t="shared" si="106"/>
        <v>34600000</v>
      </c>
      <c r="AB65" s="97">
        <f t="shared" si="106"/>
        <v>0</v>
      </c>
      <c r="AC65" s="97"/>
      <c r="AD65" s="191">
        <f t="shared" si="106"/>
        <v>34600000</v>
      </c>
      <c r="AE65" s="97">
        <f t="shared" si="106"/>
        <v>0</v>
      </c>
      <c r="AF65" s="97">
        <f t="shared" si="106"/>
        <v>0</v>
      </c>
      <c r="AG65" s="97">
        <f t="shared" si="106"/>
        <v>0</v>
      </c>
      <c r="AH65" s="1"/>
      <c r="AI65" s="97">
        <f t="shared" si="106"/>
        <v>9600000</v>
      </c>
      <c r="AJ65" s="320">
        <f t="shared" si="5"/>
        <v>460416.66666666669</v>
      </c>
      <c r="AL65" s="1" t="str">
        <f t="shared" si="68"/>
        <v>OK</v>
      </c>
    </row>
    <row r="66" spans="1:38" ht="18.75" x14ac:dyDescent="0.25">
      <c r="B66" s="371" t="s">
        <v>171</v>
      </c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3"/>
      <c r="T66" s="46"/>
      <c r="U66" s="46"/>
      <c r="V66" s="46"/>
      <c r="W66" s="192"/>
      <c r="X66" s="187"/>
      <c r="Y66" s="46"/>
      <c r="Z66" s="201"/>
      <c r="AA66" s="187"/>
      <c r="AB66" s="46"/>
      <c r="AC66" s="46"/>
      <c r="AD66" s="192"/>
      <c r="AE66" s="187"/>
      <c r="AF66" s="46"/>
      <c r="AG66" s="46"/>
      <c r="AH66" s="1"/>
      <c r="AI66" s="46"/>
      <c r="AJ66" s="321">
        <f t="shared" si="5"/>
        <v>0</v>
      </c>
      <c r="AL66" s="1" t="str">
        <f t="shared" si="68"/>
        <v>OK</v>
      </c>
    </row>
    <row r="67" spans="1:38" ht="15.75" x14ac:dyDescent="0.25">
      <c r="B67" s="114" t="s">
        <v>172</v>
      </c>
      <c r="C67" s="38" t="s">
        <v>255</v>
      </c>
      <c r="D67" s="9"/>
      <c r="E67" s="9"/>
      <c r="F67" s="9"/>
      <c r="G67" s="31"/>
      <c r="H67" s="31"/>
      <c r="I67" s="31"/>
      <c r="J67" s="31"/>
      <c r="K67" s="31">
        <f>100000*96</f>
        <v>9600000</v>
      </c>
      <c r="L67" s="31"/>
      <c r="M67" s="31">
        <f>100000*96</f>
        <v>9600000</v>
      </c>
      <c r="N67" s="31"/>
      <c r="O67" s="31"/>
      <c r="P67" s="31"/>
      <c r="Q67" s="31">
        <f>100000*96</f>
        <v>9600000</v>
      </c>
      <c r="R67" s="31"/>
      <c r="S67" s="31">
        <f>100000*96</f>
        <v>9600000</v>
      </c>
      <c r="T67" s="76"/>
      <c r="U67" s="13">
        <f>Q67+N67+K67+H67+E67</f>
        <v>19200000</v>
      </c>
      <c r="V67" s="13">
        <f t="shared" si="51"/>
        <v>0</v>
      </c>
      <c r="W67" s="194">
        <f t="shared" si="52"/>
        <v>19200000</v>
      </c>
      <c r="X67" s="113"/>
      <c r="Y67" s="113"/>
      <c r="Z67" s="203"/>
      <c r="AA67" s="76">
        <f>U67</f>
        <v>19200000</v>
      </c>
      <c r="AB67" s="76"/>
      <c r="AC67" s="76"/>
      <c r="AD67" s="198">
        <f>W67</f>
        <v>19200000</v>
      </c>
      <c r="AE67" s="76"/>
      <c r="AF67" s="20"/>
      <c r="AG67" s="20"/>
      <c r="AH67" s="1"/>
      <c r="AI67" s="20">
        <f t="shared" ref="AI67" si="110">W67-Z67-AD67</f>
        <v>0</v>
      </c>
      <c r="AJ67" s="319">
        <f t="shared" si="5"/>
        <v>200000</v>
      </c>
      <c r="AL67" s="1" t="str">
        <f t="shared" si="68"/>
        <v>OK</v>
      </c>
    </row>
    <row r="68" spans="1:38" ht="15.75" x14ac:dyDescent="0.25">
      <c r="B68" s="160" t="s">
        <v>170</v>
      </c>
      <c r="C68" s="38" t="s">
        <v>255</v>
      </c>
      <c r="D68" s="9"/>
      <c r="E68" s="31">
        <f>50000*96</f>
        <v>4800000</v>
      </c>
      <c r="F68" s="9"/>
      <c r="G68" s="31">
        <f>50000*96</f>
        <v>4800000</v>
      </c>
      <c r="H68" s="31">
        <f>20000*96</f>
        <v>1920000</v>
      </c>
      <c r="I68" s="31"/>
      <c r="J68" s="31">
        <f>20000*96</f>
        <v>1920000</v>
      </c>
      <c r="K68" s="31">
        <f t="shared" ref="K68:S68" si="111">20000*96</f>
        <v>1920000</v>
      </c>
      <c r="L68" s="31"/>
      <c r="M68" s="31">
        <f t="shared" si="111"/>
        <v>1920000</v>
      </c>
      <c r="N68" s="31">
        <f t="shared" si="111"/>
        <v>1920000</v>
      </c>
      <c r="O68" s="31"/>
      <c r="P68" s="31">
        <f t="shared" si="111"/>
        <v>1920000</v>
      </c>
      <c r="Q68" s="31">
        <f t="shared" si="111"/>
        <v>1920000</v>
      </c>
      <c r="R68" s="31"/>
      <c r="S68" s="31">
        <f t="shared" si="111"/>
        <v>1920000</v>
      </c>
      <c r="T68" s="76"/>
      <c r="U68" s="13">
        <f t="shared" si="50"/>
        <v>12480000</v>
      </c>
      <c r="V68" s="13">
        <f t="shared" si="51"/>
        <v>0</v>
      </c>
      <c r="W68" s="194">
        <f t="shared" si="52"/>
        <v>12480000</v>
      </c>
      <c r="X68" s="113"/>
      <c r="Y68" s="113"/>
      <c r="Z68" s="203"/>
      <c r="AA68" s="76">
        <f>U68</f>
        <v>12480000</v>
      </c>
      <c r="AB68" s="76"/>
      <c r="AC68" s="76"/>
      <c r="AD68" s="198">
        <f>W68</f>
        <v>12480000</v>
      </c>
      <c r="AE68" s="76"/>
      <c r="AF68" s="20"/>
      <c r="AG68" s="20"/>
      <c r="AH68" s="1"/>
      <c r="AI68" s="20">
        <f t="shared" ref="AI68" si="112">W68-Z68-AD68</f>
        <v>0</v>
      </c>
      <c r="AJ68" s="319">
        <f t="shared" si="5"/>
        <v>130000</v>
      </c>
      <c r="AL68" s="1" t="str">
        <f t="shared" si="68"/>
        <v>OK</v>
      </c>
    </row>
    <row r="69" spans="1:38" ht="15.75" x14ac:dyDescent="0.25">
      <c r="B69" s="98" t="s">
        <v>284</v>
      </c>
      <c r="C69" s="95"/>
      <c r="D69" s="96"/>
      <c r="E69" s="97">
        <f t="shared" ref="E69:R69" si="113">SUM(E67:E68)</f>
        <v>4800000</v>
      </c>
      <c r="F69" s="97">
        <f t="shared" si="113"/>
        <v>0</v>
      </c>
      <c r="G69" s="97">
        <f t="shared" si="113"/>
        <v>4800000</v>
      </c>
      <c r="H69" s="97">
        <f t="shared" si="113"/>
        <v>1920000</v>
      </c>
      <c r="I69" s="97">
        <f t="shared" si="113"/>
        <v>0</v>
      </c>
      <c r="J69" s="97">
        <f t="shared" si="113"/>
        <v>1920000</v>
      </c>
      <c r="K69" s="97">
        <f t="shared" si="113"/>
        <v>11520000</v>
      </c>
      <c r="L69" s="97">
        <f t="shared" si="113"/>
        <v>0</v>
      </c>
      <c r="M69" s="97">
        <f t="shared" si="113"/>
        <v>11520000</v>
      </c>
      <c r="N69" s="97">
        <f t="shared" si="113"/>
        <v>1920000</v>
      </c>
      <c r="O69" s="97">
        <f t="shared" si="113"/>
        <v>0</v>
      </c>
      <c r="P69" s="97">
        <f t="shared" si="113"/>
        <v>1920000</v>
      </c>
      <c r="Q69" s="97">
        <f t="shared" si="113"/>
        <v>11520000</v>
      </c>
      <c r="R69" s="97">
        <f t="shared" si="113"/>
        <v>0</v>
      </c>
      <c r="S69" s="97">
        <f>SUM(S67:S68)</f>
        <v>11520000</v>
      </c>
      <c r="T69" s="97"/>
      <c r="U69" s="13">
        <f>Q69+N69+K69+H69+E69</f>
        <v>31680000</v>
      </c>
      <c r="V69" s="13">
        <f t="shared" si="51"/>
        <v>0</v>
      </c>
      <c r="W69" s="194">
        <f t="shared" si="52"/>
        <v>31680000</v>
      </c>
      <c r="X69" s="97"/>
      <c r="Y69" s="97"/>
      <c r="Z69" s="200">
        <f t="shared" ref="Z69:AI69" si="114">SUM(Z67:Z68)</f>
        <v>0</v>
      </c>
      <c r="AA69" s="97">
        <f t="shared" si="114"/>
        <v>31680000</v>
      </c>
      <c r="AB69" s="97">
        <f t="shared" si="114"/>
        <v>0</v>
      </c>
      <c r="AC69" s="97"/>
      <c r="AD69" s="191">
        <f t="shared" si="114"/>
        <v>31680000</v>
      </c>
      <c r="AE69" s="97"/>
      <c r="AF69" s="97"/>
      <c r="AG69" s="97"/>
      <c r="AH69" s="1"/>
      <c r="AI69" s="97">
        <f t="shared" si="114"/>
        <v>0</v>
      </c>
      <c r="AJ69" s="320">
        <f t="shared" si="5"/>
        <v>330000</v>
      </c>
      <c r="AL69" s="1" t="str">
        <f t="shared" si="68"/>
        <v>OK</v>
      </c>
    </row>
    <row r="70" spans="1:38" ht="15.75" x14ac:dyDescent="0.25">
      <c r="A70" s="54"/>
      <c r="B70" s="42" t="s">
        <v>13</v>
      </c>
      <c r="C70" s="43"/>
      <c r="D70" s="44"/>
      <c r="E70" s="41">
        <f>E13+E24+E30+E44+E53+E65+E69</f>
        <v>933773379.0666666</v>
      </c>
      <c r="F70" s="44"/>
      <c r="G70" s="41">
        <f>G13+G24+G30+G44+G53+G65+G69</f>
        <v>936273379.0666666</v>
      </c>
      <c r="H70" s="41">
        <f t="shared" ref="H70" si="115">H13+H24+H30+H44+H53+H65+H69</f>
        <v>1182061879.0666666</v>
      </c>
      <c r="I70" s="41"/>
      <c r="J70" s="41">
        <f t="shared" ref="J70:W70" si="116">J13+J24+J30+J44+J53+J65+J69</f>
        <v>1187449879.0666666</v>
      </c>
      <c r="K70" s="41">
        <f t="shared" ref="K70" si="117">K13+K24+K30+K44+K53+K65+K69</f>
        <v>3238347197.4461536</v>
      </c>
      <c r="L70" s="41"/>
      <c r="M70" s="41">
        <f t="shared" si="116"/>
        <v>3242247197.4461536</v>
      </c>
      <c r="N70" s="41">
        <f t="shared" ref="N70" si="118">N13+N24+N30+N44+N53+N65+N69</f>
        <v>5230161351.2923079</v>
      </c>
      <c r="O70" s="41"/>
      <c r="P70" s="41">
        <f t="shared" si="116"/>
        <v>5230161351.2923079</v>
      </c>
      <c r="Q70" s="41">
        <f t="shared" ref="Q70" si="119">Q13+Q24+Q30+Q44+Q53+Q65+Q69</f>
        <v>7164605336.3384619</v>
      </c>
      <c r="R70" s="41"/>
      <c r="S70" s="41">
        <f t="shared" si="116"/>
        <v>7168505336.3384619</v>
      </c>
      <c r="T70" s="41"/>
      <c r="U70" s="41">
        <f t="shared" si="116"/>
        <v>17756837143.210258</v>
      </c>
      <c r="V70" s="41">
        <f t="shared" si="116"/>
        <v>7800000</v>
      </c>
      <c r="W70" s="189">
        <f t="shared" si="116"/>
        <v>17764637143.210258</v>
      </c>
      <c r="X70" s="41">
        <f t="shared" ref="X70:Z70" si="120">X13+X24+X30+X44+X53+X65+X69</f>
        <v>4779666455.5794868</v>
      </c>
      <c r="Y70" s="41">
        <f t="shared" si="120"/>
        <v>0</v>
      </c>
      <c r="Z70" s="202">
        <f t="shared" si="120"/>
        <v>4779666455.5794868</v>
      </c>
      <c r="AA70" s="41">
        <f t="shared" ref="AA70" si="121">AA13+AA24+AA30+AA44+AA53+AA65+AA69</f>
        <v>87980000</v>
      </c>
      <c r="AB70" s="41">
        <f t="shared" ref="AB70" si="122">AB13+AB24+AB30+AB44+AB53+AB65+AB69</f>
        <v>57180000</v>
      </c>
      <c r="AC70" s="41"/>
      <c r="AD70" s="189">
        <f t="shared" ref="AD70:AG70" si="123">AD13+AD24+AD30+AD44+AD53+AD65+AD69</f>
        <v>145160000</v>
      </c>
      <c r="AE70" s="41">
        <f t="shared" si="123"/>
        <v>12111776687.63077</v>
      </c>
      <c r="AF70" s="41">
        <f t="shared" si="123"/>
        <v>3900000</v>
      </c>
      <c r="AG70" s="41">
        <f t="shared" si="123"/>
        <v>12115676687.63077</v>
      </c>
      <c r="AH70" s="1"/>
      <c r="AI70" s="41">
        <f t="shared" ref="AI70" si="124">AI13+AI24+AI30+AI44+AI53+AI65+AI69</f>
        <v>724134000</v>
      </c>
      <c r="AJ70" s="324">
        <f t="shared" si="5"/>
        <v>185048303.57510686</v>
      </c>
      <c r="AL70" s="1" t="str">
        <f t="shared" si="68"/>
        <v>OK</v>
      </c>
    </row>
    <row r="71" spans="1:38" s="25" customFormat="1" ht="15.75" x14ac:dyDescent="0.25">
      <c r="A71" s="55"/>
      <c r="B71" s="26"/>
      <c r="C71" s="27"/>
      <c r="D71" s="28"/>
      <c r="E71" s="29">
        <f t="shared" ref="E71:F71" si="125">E70</f>
        <v>933773379.0666666</v>
      </c>
      <c r="F71" s="29">
        <f t="shared" si="125"/>
        <v>0</v>
      </c>
      <c r="G71" s="29">
        <f>G70</f>
        <v>936273379.0666666</v>
      </c>
      <c r="H71" s="29">
        <f t="shared" ref="H71:I71" si="126">H70</f>
        <v>1182061879.0666666</v>
      </c>
      <c r="I71" s="29">
        <f t="shared" si="126"/>
        <v>0</v>
      </c>
      <c r="J71" s="29">
        <f t="shared" ref="J71:AI71" si="127">J70</f>
        <v>1187449879.0666666</v>
      </c>
      <c r="K71" s="29">
        <f t="shared" si="127"/>
        <v>3238347197.4461536</v>
      </c>
      <c r="L71" s="29">
        <f t="shared" si="127"/>
        <v>0</v>
      </c>
      <c r="M71" s="29">
        <f>M70</f>
        <v>3242247197.4461536</v>
      </c>
      <c r="N71" s="29">
        <f t="shared" ref="N71:O71" si="128">N70</f>
        <v>5230161351.2923079</v>
      </c>
      <c r="O71" s="29">
        <f t="shared" si="128"/>
        <v>0</v>
      </c>
      <c r="P71" s="29">
        <f t="shared" si="127"/>
        <v>5230161351.2923079</v>
      </c>
      <c r="Q71" s="29">
        <f t="shared" si="127"/>
        <v>7164605336.3384619</v>
      </c>
      <c r="R71" s="29">
        <f t="shared" si="127"/>
        <v>0</v>
      </c>
      <c r="S71" s="29">
        <f>S70</f>
        <v>7168505336.3384619</v>
      </c>
      <c r="T71" s="29"/>
      <c r="U71" s="29">
        <f t="shared" si="127"/>
        <v>17756837143.210258</v>
      </c>
      <c r="V71" s="29">
        <f t="shared" si="127"/>
        <v>7800000</v>
      </c>
      <c r="W71" s="196">
        <f t="shared" si="127"/>
        <v>17764637143.210258</v>
      </c>
      <c r="X71" s="29">
        <f t="shared" si="127"/>
        <v>4779666455.5794868</v>
      </c>
      <c r="Y71" s="29">
        <f t="shared" si="127"/>
        <v>0</v>
      </c>
      <c r="Z71" s="204">
        <f t="shared" si="127"/>
        <v>4779666455.5794868</v>
      </c>
      <c r="AA71" s="29">
        <f t="shared" si="127"/>
        <v>87980000</v>
      </c>
      <c r="AB71" s="29">
        <f t="shared" si="127"/>
        <v>57180000</v>
      </c>
      <c r="AC71" s="29"/>
      <c r="AD71" s="196">
        <f t="shared" si="127"/>
        <v>145160000</v>
      </c>
      <c r="AE71" s="29">
        <f t="shared" si="127"/>
        <v>12111776687.63077</v>
      </c>
      <c r="AF71" s="29">
        <f t="shared" si="127"/>
        <v>3900000</v>
      </c>
      <c r="AG71" s="29">
        <f t="shared" si="127"/>
        <v>12115676687.63077</v>
      </c>
      <c r="AI71" s="29">
        <f t="shared" si="127"/>
        <v>724134000</v>
      </c>
      <c r="AJ71" s="104">
        <f t="shared" si="5"/>
        <v>185048303.57510686</v>
      </c>
      <c r="AL71" s="1" t="str">
        <f t="shared" si="68"/>
        <v>OK</v>
      </c>
    </row>
    <row r="73" spans="1:38" x14ac:dyDescent="0.25">
      <c r="C73" s="156" t="e">
        <f>#REF!-W71</f>
        <v>#REF!</v>
      </c>
    </row>
    <row r="74" spans="1:38" ht="18.75" x14ac:dyDescent="0.25">
      <c r="A74" s="51"/>
      <c r="B74" s="364" t="s">
        <v>64</v>
      </c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5"/>
      <c r="W74" s="365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5"/>
      <c r="AI74" s="367"/>
    </row>
    <row r="75" spans="1:38" ht="18.75" x14ac:dyDescent="0.25">
      <c r="A75" s="51"/>
      <c r="B75" s="368" t="s">
        <v>184</v>
      </c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210"/>
      <c r="U75" s="96"/>
      <c r="V75" s="82"/>
      <c r="W75" s="210"/>
      <c r="X75" s="96"/>
      <c r="Y75" s="82"/>
      <c r="Z75" s="241"/>
      <c r="AA75" s="96"/>
      <c r="AB75" s="82"/>
      <c r="AC75" s="82"/>
      <c r="AD75" s="241"/>
      <c r="AE75" s="96"/>
      <c r="AF75" s="82"/>
      <c r="AG75" s="241"/>
      <c r="AH75" s="96"/>
      <c r="AI75" s="82"/>
    </row>
    <row r="76" spans="1:38" ht="31.5" x14ac:dyDescent="0.25">
      <c r="A76" s="370" t="s">
        <v>4</v>
      </c>
      <c r="B76" s="115" t="s">
        <v>185</v>
      </c>
      <c r="C76" s="49"/>
      <c r="D76" s="85"/>
      <c r="E76" s="85"/>
      <c r="F76" s="85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211"/>
      <c r="U76" s="40"/>
      <c r="V76" s="86"/>
      <c r="W76" s="40"/>
      <c r="X76" s="41"/>
      <c r="Y76" s="71"/>
      <c r="Z76" s="245"/>
      <c r="AA76" s="240"/>
      <c r="AB76" s="69"/>
      <c r="AC76" s="69"/>
      <c r="AD76" s="245"/>
      <c r="AE76" s="240"/>
      <c r="AF76" s="69"/>
      <c r="AG76" s="248">
        <f>W76/96</f>
        <v>0</v>
      </c>
      <c r="AH76" s="247"/>
      <c r="AI76" s="69">
        <f>W76-Z76-AF76</f>
        <v>0</v>
      </c>
    </row>
    <row r="77" spans="1:38" ht="47.25" x14ac:dyDescent="0.25">
      <c r="A77" s="370"/>
      <c r="B77" s="141" t="s">
        <v>57</v>
      </c>
      <c r="C77" s="49" t="s">
        <v>256</v>
      </c>
      <c r="D77" s="4" t="s">
        <v>162</v>
      </c>
      <c r="E77" s="4"/>
      <c r="F77" s="12">
        <v>372107040</v>
      </c>
      <c r="G77" s="12">
        <v>372107040</v>
      </c>
      <c r="H77" s="12"/>
      <c r="I77" s="12">
        <v>188540800</v>
      </c>
      <c r="J77" s="12">
        <v>188540800</v>
      </c>
      <c r="K77" s="12"/>
      <c r="L77" s="12">
        <v>190218720</v>
      </c>
      <c r="M77" s="12">
        <v>190218720</v>
      </c>
      <c r="N77" s="12"/>
      <c r="O77" s="12">
        <v>191911520</v>
      </c>
      <c r="P77" s="12">
        <v>191911520</v>
      </c>
      <c r="Q77" s="12"/>
      <c r="R77" s="12">
        <v>193619440</v>
      </c>
      <c r="S77" s="12">
        <v>193619440</v>
      </c>
      <c r="T77" s="212"/>
      <c r="U77" s="186">
        <f>E77+H77+K77+N77+Q77</f>
        <v>0</v>
      </c>
      <c r="V77" s="186">
        <f t="shared" ref="V77:W82" si="129">F77+I77+L77+O77+R77</f>
        <v>1136397520</v>
      </c>
      <c r="W77" s="235">
        <f t="shared" si="129"/>
        <v>1136397520</v>
      </c>
      <c r="X77" s="31">
        <f>E77+H77+K77-AA77</f>
        <v>0</v>
      </c>
      <c r="Y77" s="31">
        <f>F77+I77+L77-AB77</f>
        <v>750866560</v>
      </c>
      <c r="Z77" s="243">
        <f>G77+J77+M77-AD77</f>
        <v>750866560</v>
      </c>
      <c r="AA77" s="80"/>
      <c r="AB77" s="12"/>
      <c r="AC77" s="12"/>
      <c r="AD77" s="246"/>
      <c r="AE77" s="80">
        <f>N77+Q77</f>
        <v>0</v>
      </c>
      <c r="AF77" s="80">
        <f t="shared" ref="AF77:AG82" si="130">O77+R77</f>
        <v>385530960</v>
      </c>
      <c r="AG77" s="243">
        <f>P77+S77</f>
        <v>385530960</v>
      </c>
      <c r="AH77" s="118"/>
      <c r="AI77" s="12">
        <f>W77-Z77-AG77-AD77</f>
        <v>0</v>
      </c>
    </row>
    <row r="78" spans="1:38" ht="30" x14ac:dyDescent="0.25">
      <c r="A78" s="370"/>
      <c r="B78" s="141" t="s">
        <v>166</v>
      </c>
      <c r="C78" s="49" t="s">
        <v>256</v>
      </c>
      <c r="D78" s="4" t="s">
        <v>163</v>
      </c>
      <c r="E78" s="12">
        <v>123123200</v>
      </c>
      <c r="F78" s="4"/>
      <c r="G78" s="12">
        <v>123123200</v>
      </c>
      <c r="H78" s="12">
        <v>186817920</v>
      </c>
      <c r="I78" s="12"/>
      <c r="J78" s="12">
        <v>186817920</v>
      </c>
      <c r="K78" s="12">
        <v>252428880</v>
      </c>
      <c r="L78" s="12"/>
      <c r="M78" s="12">
        <v>252428880</v>
      </c>
      <c r="N78" s="12">
        <v>320013920</v>
      </c>
      <c r="O78" s="12"/>
      <c r="P78" s="12">
        <v>320013920</v>
      </c>
      <c r="Q78" s="12">
        <v>389632240</v>
      </c>
      <c r="R78" s="12"/>
      <c r="S78" s="12">
        <v>389632240</v>
      </c>
      <c r="T78" s="212"/>
      <c r="U78" s="186">
        <f t="shared" ref="U78:U82" si="131">E78+H78+K78+N78+Q78</f>
        <v>1272016160</v>
      </c>
      <c r="V78" s="186">
        <f t="shared" si="129"/>
        <v>0</v>
      </c>
      <c r="W78" s="235">
        <f t="shared" si="129"/>
        <v>1272016160</v>
      </c>
      <c r="X78" s="31">
        <f t="shared" ref="X78:Y82" si="132">E78+H78+K78-AA78</f>
        <v>562370000</v>
      </c>
      <c r="Y78" s="31">
        <f t="shared" si="132"/>
        <v>0</v>
      </c>
      <c r="Z78" s="243">
        <f t="shared" ref="Z78:Z82" si="133">G78+J78+M78-AD78</f>
        <v>562370000</v>
      </c>
      <c r="AA78" s="80"/>
      <c r="AB78" s="12"/>
      <c r="AC78" s="12"/>
      <c r="AD78" s="246"/>
      <c r="AE78" s="80">
        <f t="shared" ref="AE78:AE82" si="134">N78+Q78</f>
        <v>709646160</v>
      </c>
      <c r="AF78" s="80">
        <f t="shared" si="130"/>
        <v>0</v>
      </c>
      <c r="AG78" s="243">
        <f t="shared" si="130"/>
        <v>709646160</v>
      </c>
      <c r="AH78" s="118"/>
      <c r="AI78" s="12">
        <f>W78-Z78-AG78-AD78</f>
        <v>0</v>
      </c>
    </row>
    <row r="79" spans="1:38" ht="47.25" x14ac:dyDescent="0.25">
      <c r="A79" s="370"/>
      <c r="B79" s="114" t="s">
        <v>58</v>
      </c>
      <c r="C79" s="49" t="s">
        <v>256</v>
      </c>
      <c r="D79" s="4"/>
      <c r="E79" s="35"/>
      <c r="F79" s="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212"/>
      <c r="U79" s="186">
        <f t="shared" si="131"/>
        <v>0</v>
      </c>
      <c r="V79" s="186">
        <f t="shared" si="129"/>
        <v>0</v>
      </c>
      <c r="W79" s="235">
        <f t="shared" si="129"/>
        <v>0</v>
      </c>
      <c r="X79" s="31">
        <f t="shared" si="132"/>
        <v>0</v>
      </c>
      <c r="Y79" s="31">
        <f t="shared" si="132"/>
        <v>0</v>
      </c>
      <c r="Z79" s="243">
        <f t="shared" si="133"/>
        <v>0</v>
      </c>
      <c r="AA79" s="80"/>
      <c r="AB79" s="12"/>
      <c r="AC79" s="12"/>
      <c r="AD79" s="246"/>
      <c r="AE79" s="80">
        <f t="shared" si="134"/>
        <v>0</v>
      </c>
      <c r="AF79" s="80">
        <f t="shared" si="130"/>
        <v>0</v>
      </c>
      <c r="AG79" s="243">
        <f t="shared" si="130"/>
        <v>0</v>
      </c>
      <c r="AH79" s="118"/>
      <c r="AI79" s="12">
        <f>W79-Z79-AG6-AD79</f>
        <v>0</v>
      </c>
    </row>
    <row r="80" spans="1:38" ht="63" x14ac:dyDescent="0.25">
      <c r="A80" s="370"/>
      <c r="B80" s="115" t="s">
        <v>186</v>
      </c>
      <c r="C80" s="49"/>
      <c r="D80" s="85"/>
      <c r="E80" s="69"/>
      <c r="F80" s="85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211"/>
      <c r="U80" s="92"/>
      <c r="V80" s="92"/>
      <c r="W80" s="234"/>
      <c r="X80" s="92"/>
      <c r="Y80" s="92"/>
      <c r="Z80" s="242"/>
      <c r="AA80" s="240"/>
      <c r="AB80" s="69"/>
      <c r="AC80" s="69"/>
      <c r="AD80" s="245"/>
      <c r="AE80" s="240"/>
      <c r="AF80" s="240"/>
      <c r="AG80" s="245"/>
      <c r="AH80" s="247"/>
      <c r="AI80" s="69">
        <f>W80-Z80-AF80</f>
        <v>0</v>
      </c>
    </row>
    <row r="81" spans="1:35" ht="31.5" x14ac:dyDescent="0.25">
      <c r="A81" s="370"/>
      <c r="B81" s="114" t="s">
        <v>59</v>
      </c>
      <c r="C81" s="49" t="s">
        <v>256</v>
      </c>
      <c r="D81" s="4"/>
      <c r="E81" s="12">
        <f>60000*96</f>
        <v>5760000</v>
      </c>
      <c r="F81" s="4"/>
      <c r="G81" s="12">
        <f>60000*96</f>
        <v>5760000</v>
      </c>
      <c r="H81" s="12"/>
      <c r="I81" s="12"/>
      <c r="J81" s="12"/>
      <c r="K81" s="12"/>
      <c r="L81" s="12"/>
      <c r="M81" s="12"/>
      <c r="N81" s="35"/>
      <c r="O81" s="12"/>
      <c r="P81" s="35"/>
      <c r="Q81" s="35"/>
      <c r="R81" s="35"/>
      <c r="S81" s="35"/>
      <c r="T81" s="212"/>
      <c r="U81" s="186">
        <f t="shared" si="131"/>
        <v>5760000</v>
      </c>
      <c r="V81" s="186">
        <f t="shared" si="129"/>
        <v>0</v>
      </c>
      <c r="W81" s="235">
        <f t="shared" si="129"/>
        <v>5760000</v>
      </c>
      <c r="X81" s="31">
        <v>0</v>
      </c>
      <c r="Y81" s="31">
        <f t="shared" si="132"/>
        <v>0</v>
      </c>
      <c r="Z81" s="243">
        <v>0</v>
      </c>
      <c r="AA81" s="80">
        <v>5760000</v>
      </c>
      <c r="AB81" s="12"/>
      <c r="AC81" s="12"/>
      <c r="AD81" s="243">
        <v>5760000</v>
      </c>
      <c r="AE81" s="80">
        <f t="shared" si="134"/>
        <v>0</v>
      </c>
      <c r="AF81" s="80">
        <f t="shared" si="130"/>
        <v>0</v>
      </c>
      <c r="AG81" s="243">
        <f t="shared" si="130"/>
        <v>0</v>
      </c>
      <c r="AH81" s="118"/>
      <c r="AI81" s="12">
        <f>W81-Z81-AG8-AD81</f>
        <v>0</v>
      </c>
    </row>
    <row r="82" spans="1:35" ht="15.75" x14ac:dyDescent="0.25">
      <c r="A82" s="52"/>
      <c r="B82" s="15" t="s">
        <v>10</v>
      </c>
      <c r="C82" s="16"/>
      <c r="D82" s="17"/>
      <c r="E82" s="30">
        <f>SUM(E77:E81)</f>
        <v>128883200</v>
      </c>
      <c r="F82" s="30">
        <f>SUM(F77:F81)</f>
        <v>372107040</v>
      </c>
      <c r="G82" s="30">
        <f>SUM(G77:G81)</f>
        <v>500990240</v>
      </c>
      <c r="H82" s="30">
        <f t="shared" ref="H82:AI82" si="135">SUM(H77:H81)</f>
        <v>186817920</v>
      </c>
      <c r="I82" s="30">
        <f t="shared" si="135"/>
        <v>188540800</v>
      </c>
      <c r="J82" s="30">
        <f t="shared" si="135"/>
        <v>375358720</v>
      </c>
      <c r="K82" s="30">
        <f t="shared" si="135"/>
        <v>252428880</v>
      </c>
      <c r="L82" s="30">
        <f t="shared" si="135"/>
        <v>190218720</v>
      </c>
      <c r="M82" s="30">
        <f t="shared" si="135"/>
        <v>442647600</v>
      </c>
      <c r="N82" s="30">
        <f t="shared" si="135"/>
        <v>320013920</v>
      </c>
      <c r="O82" s="30">
        <f t="shared" si="135"/>
        <v>191911520</v>
      </c>
      <c r="P82" s="30">
        <f t="shared" si="135"/>
        <v>511925440</v>
      </c>
      <c r="Q82" s="30">
        <f t="shared" si="135"/>
        <v>389632240</v>
      </c>
      <c r="R82" s="30">
        <f t="shared" si="135"/>
        <v>193619440</v>
      </c>
      <c r="S82" s="30">
        <f t="shared" si="135"/>
        <v>583251680</v>
      </c>
      <c r="T82" s="213"/>
      <c r="U82" s="30">
        <f t="shared" si="131"/>
        <v>1277776160</v>
      </c>
      <c r="V82" s="30">
        <f t="shared" si="129"/>
        <v>1136397520</v>
      </c>
      <c r="W82" s="215">
        <f>G82+J82+M82+P82+S82</f>
        <v>2414173680</v>
      </c>
      <c r="X82" s="30">
        <f t="shared" si="132"/>
        <v>562370000</v>
      </c>
      <c r="Y82" s="30">
        <f t="shared" si="132"/>
        <v>750866560</v>
      </c>
      <c r="Z82" s="264">
        <f t="shared" si="133"/>
        <v>1313236560</v>
      </c>
      <c r="AA82" s="30">
        <f>SUM(AA77:AA81)</f>
        <v>5760000</v>
      </c>
      <c r="AB82" s="30"/>
      <c r="AC82" s="30"/>
      <c r="AD82" s="244">
        <f t="shared" si="135"/>
        <v>5760000</v>
      </c>
      <c r="AE82" s="265">
        <f t="shared" si="134"/>
        <v>709646160</v>
      </c>
      <c r="AF82" s="265">
        <f t="shared" si="130"/>
        <v>385530960</v>
      </c>
      <c r="AG82" s="244">
        <f t="shared" si="130"/>
        <v>1095177120</v>
      </c>
      <c r="AH82" s="30"/>
      <c r="AI82" s="265">
        <f t="shared" si="135"/>
        <v>0</v>
      </c>
    </row>
    <row r="83" spans="1:35" ht="18.75" hidden="1" x14ac:dyDescent="0.25">
      <c r="A83" s="83"/>
      <c r="B83" s="382" t="s">
        <v>187</v>
      </c>
      <c r="C83" s="383"/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4"/>
    </row>
    <row r="84" spans="1:35" ht="31.5" hidden="1" x14ac:dyDescent="0.25">
      <c r="A84" s="370" t="s">
        <v>4</v>
      </c>
      <c r="B84" s="115" t="s">
        <v>188</v>
      </c>
      <c r="C84" s="49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211"/>
      <c r="U84" s="40"/>
      <c r="V84" s="86"/>
      <c r="W84" s="234"/>
      <c r="X84" s="41"/>
      <c r="Y84" s="71"/>
      <c r="Z84" s="250"/>
      <c r="AA84" s="249"/>
      <c r="AB84" s="101"/>
      <c r="AC84" s="101"/>
      <c r="AD84" s="250"/>
      <c r="AE84" s="249"/>
      <c r="AF84" s="69"/>
      <c r="AG84" s="248"/>
      <c r="AH84" s="247"/>
      <c r="AI84" s="69"/>
    </row>
    <row r="85" spans="1:35" ht="31.5" hidden="1" x14ac:dyDescent="0.25">
      <c r="A85" s="370"/>
      <c r="B85" s="114" t="s">
        <v>60</v>
      </c>
      <c r="C85" s="49" t="s">
        <v>256</v>
      </c>
      <c r="D85" s="3"/>
      <c r="E85" s="3"/>
      <c r="F85" s="3"/>
      <c r="G85" s="3"/>
      <c r="H85" s="12">
        <f>90000*40</f>
        <v>3600000</v>
      </c>
      <c r="I85" s="3"/>
      <c r="J85" s="12">
        <f>90000*40</f>
        <v>3600000</v>
      </c>
      <c r="K85" s="12"/>
      <c r="L85" s="12"/>
      <c r="M85" s="12"/>
      <c r="N85" s="12"/>
      <c r="O85" s="12"/>
      <c r="P85" s="12"/>
      <c r="Q85" s="12"/>
      <c r="R85" s="12"/>
      <c r="S85" s="12"/>
      <c r="T85" s="214"/>
      <c r="U85" s="186">
        <f t="shared" ref="U85:W85" si="136">E85+H85+K85+N85+Q85</f>
        <v>3600000</v>
      </c>
      <c r="V85" s="186">
        <f t="shared" si="136"/>
        <v>0</v>
      </c>
      <c r="W85" s="235">
        <f t="shared" si="136"/>
        <v>3600000</v>
      </c>
      <c r="X85" s="31">
        <f t="shared" ref="X85:Y85" si="137">E85+H85+K85-AA85</f>
        <v>3600000</v>
      </c>
      <c r="Y85" s="31">
        <f t="shared" si="137"/>
        <v>0</v>
      </c>
      <c r="Z85" s="243">
        <f t="shared" ref="Z85" si="138">G85+J85+M85-AD85</f>
        <v>3600000</v>
      </c>
      <c r="AA85" s="132"/>
      <c r="AB85" s="19"/>
      <c r="AC85" s="19"/>
      <c r="AD85" s="254"/>
      <c r="AE85" s="80">
        <f t="shared" ref="AE85:AG85" si="139">N85+Q85</f>
        <v>0</v>
      </c>
      <c r="AF85" s="80">
        <f t="shared" si="139"/>
        <v>0</v>
      </c>
      <c r="AG85" s="243">
        <f t="shared" si="139"/>
        <v>0</v>
      </c>
      <c r="AH85" s="118"/>
      <c r="AI85" s="12">
        <f t="shared" ref="AI85:AI99" si="140">W85-Z85-AF85</f>
        <v>0</v>
      </c>
    </row>
    <row r="86" spans="1:35" ht="47.25" hidden="1" x14ac:dyDescent="0.25">
      <c r="A86" s="370"/>
      <c r="B86" s="115" t="s">
        <v>189</v>
      </c>
      <c r="C86" s="49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211"/>
      <c r="U86" s="40"/>
      <c r="V86" s="86"/>
      <c r="W86" s="234"/>
      <c r="X86" s="41"/>
      <c r="Y86" s="71"/>
      <c r="Z86" s="250"/>
      <c r="AA86" s="249"/>
      <c r="AB86" s="101"/>
      <c r="AC86" s="101"/>
      <c r="AD86" s="250"/>
      <c r="AE86" s="249"/>
      <c r="AF86" s="69"/>
      <c r="AG86" s="248"/>
      <c r="AH86" s="247"/>
      <c r="AI86" s="69"/>
    </row>
    <row r="87" spans="1:35" ht="47.25" hidden="1" x14ac:dyDescent="0.25">
      <c r="A87" s="370"/>
      <c r="B87" s="114" t="s">
        <v>61</v>
      </c>
      <c r="C87" s="49" t="s">
        <v>256</v>
      </c>
      <c r="D87" s="3"/>
      <c r="E87" s="3"/>
      <c r="F87" s="3"/>
      <c r="G87" s="67"/>
      <c r="H87" s="12">
        <f>H85</f>
        <v>3600000</v>
      </c>
      <c r="I87" s="67"/>
      <c r="J87" s="12">
        <f>J85</f>
        <v>3600000</v>
      </c>
      <c r="K87" s="21">
        <f>H87</f>
        <v>3600000</v>
      </c>
      <c r="L87" s="12"/>
      <c r="M87" s="21">
        <f>J87</f>
        <v>3600000</v>
      </c>
      <c r="N87" s="21"/>
      <c r="O87" s="21"/>
      <c r="P87" s="21"/>
      <c r="Q87" s="21"/>
      <c r="R87" s="21"/>
      <c r="S87" s="21"/>
      <c r="T87" s="212"/>
      <c r="U87" s="186">
        <f t="shared" ref="U87:W87" si="141">E87+H87+K87+N87+Q87</f>
        <v>7200000</v>
      </c>
      <c r="V87" s="186">
        <f t="shared" si="141"/>
        <v>0</v>
      </c>
      <c r="W87" s="235">
        <f t="shared" si="141"/>
        <v>7200000</v>
      </c>
      <c r="X87" s="31">
        <f t="shared" ref="X87:Y87" si="142">E87+H87+K87-AA87</f>
        <v>7200000</v>
      </c>
      <c r="Y87" s="31">
        <f t="shared" si="142"/>
        <v>0</v>
      </c>
      <c r="Z87" s="243">
        <f t="shared" ref="Z87" si="143">G87+J87+M87-AD87</f>
        <v>7200000</v>
      </c>
      <c r="AA87" s="31"/>
      <c r="AB87" s="21"/>
      <c r="AC87" s="21"/>
      <c r="AD87" s="251"/>
      <c r="AE87" s="80">
        <f t="shared" ref="AE87:AG87" si="144">N87+Q87</f>
        <v>0</v>
      </c>
      <c r="AF87" s="80">
        <f t="shared" si="144"/>
        <v>0</v>
      </c>
      <c r="AG87" s="243">
        <f t="shared" si="144"/>
        <v>0</v>
      </c>
      <c r="AH87" s="118"/>
      <c r="AI87" s="12">
        <f t="shared" si="140"/>
        <v>0</v>
      </c>
    </row>
    <row r="88" spans="1:35" ht="47.25" hidden="1" x14ac:dyDescent="0.25">
      <c r="A88" s="370"/>
      <c r="B88" s="115" t="s">
        <v>190</v>
      </c>
      <c r="C88" s="49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211"/>
      <c r="U88" s="40"/>
      <c r="V88" s="86"/>
      <c r="W88" s="234"/>
      <c r="X88" s="41"/>
      <c r="Y88" s="71"/>
      <c r="Z88" s="250"/>
      <c r="AA88" s="249"/>
      <c r="AB88" s="101"/>
      <c r="AC88" s="101"/>
      <c r="AD88" s="189"/>
      <c r="AE88" s="41"/>
      <c r="AF88" s="69"/>
      <c r="AG88" s="248"/>
      <c r="AH88" s="247"/>
      <c r="AI88" s="69"/>
    </row>
    <row r="89" spans="1:35" ht="15.75" hidden="1" x14ac:dyDescent="0.25">
      <c r="A89" s="370"/>
      <c r="B89" s="114" t="s">
        <v>62</v>
      </c>
      <c r="C89" s="49" t="s">
        <v>256</v>
      </c>
      <c r="D89" s="3"/>
      <c r="E89" s="209"/>
      <c r="F89" s="209"/>
      <c r="H89" s="21">
        <f>30*90000</f>
        <v>2700000</v>
      </c>
      <c r="J89" s="21">
        <f>30*90000</f>
        <v>2700000</v>
      </c>
      <c r="K89" s="21">
        <f>30*90000</f>
        <v>2700000</v>
      </c>
      <c r="L89" s="21"/>
      <c r="M89" s="21">
        <f>30*90000</f>
        <v>2700000</v>
      </c>
      <c r="N89" s="21"/>
      <c r="O89" s="21"/>
      <c r="P89" s="21"/>
      <c r="Q89" s="21"/>
      <c r="R89" s="21"/>
      <c r="S89" s="21"/>
      <c r="T89" s="212"/>
      <c r="U89" s="186">
        <f t="shared" ref="U89:W89" si="145">E89+H89+K89+N89+Q89</f>
        <v>5400000</v>
      </c>
      <c r="V89" s="186">
        <f t="shared" si="145"/>
        <v>0</v>
      </c>
      <c r="W89" s="235">
        <f t="shared" si="145"/>
        <v>5400000</v>
      </c>
      <c r="X89" s="31">
        <f t="shared" ref="X89:Y89" si="146">E89+H89+K89-AA89</f>
        <v>5400000</v>
      </c>
      <c r="Y89" s="31">
        <f t="shared" si="146"/>
        <v>0</v>
      </c>
      <c r="Z89" s="243">
        <f t="shared" ref="Z89" si="147">G89+J89+M89-AD89</f>
        <v>5400000</v>
      </c>
      <c r="AA89" s="80"/>
      <c r="AB89" s="12"/>
      <c r="AC89" s="12"/>
      <c r="AD89" s="198"/>
      <c r="AE89" s="80">
        <f t="shared" ref="AE89:AG89" si="148">N89+Q89</f>
        <v>0</v>
      </c>
      <c r="AF89" s="80">
        <f t="shared" si="148"/>
        <v>0</v>
      </c>
      <c r="AG89" s="243">
        <f t="shared" si="148"/>
        <v>0</v>
      </c>
      <c r="AH89" s="118"/>
      <c r="AI89" s="12">
        <f t="shared" si="140"/>
        <v>0</v>
      </c>
    </row>
    <row r="90" spans="1:35" ht="15.75" x14ac:dyDescent="0.25">
      <c r="A90" s="52"/>
      <c r="B90" s="116" t="s">
        <v>11</v>
      </c>
      <c r="C90" s="123"/>
      <c r="D90" s="124"/>
      <c r="E90" s="124"/>
      <c r="F90" s="124"/>
      <c r="G90" s="119">
        <f>SUM(G84:G89)</f>
        <v>0</v>
      </c>
      <c r="H90" s="119">
        <f>SUM(H84:H89)</f>
        <v>9900000</v>
      </c>
      <c r="I90" s="119"/>
      <c r="J90" s="119">
        <f>SUM(J84:J89)</f>
        <v>9900000</v>
      </c>
      <c r="K90" s="119">
        <f t="shared" ref="K90" si="149">SUM(K84:K89)</f>
        <v>6300000</v>
      </c>
      <c r="L90" s="119"/>
      <c r="M90" s="119">
        <f t="shared" ref="M90:AI90" si="150">SUM(M84:M89)</f>
        <v>6300000</v>
      </c>
      <c r="N90" s="119"/>
      <c r="O90" s="119"/>
      <c r="P90" s="119">
        <f t="shared" si="150"/>
        <v>0</v>
      </c>
      <c r="Q90" s="119"/>
      <c r="R90" s="119"/>
      <c r="S90" s="119">
        <f t="shared" si="150"/>
        <v>0</v>
      </c>
      <c r="T90" s="215"/>
      <c r="U90" s="119">
        <f>SUM(U84:U89)</f>
        <v>16200000</v>
      </c>
      <c r="V90" s="119">
        <f>SUM(V84:V89)</f>
        <v>0</v>
      </c>
      <c r="W90" s="239">
        <f t="shared" si="150"/>
        <v>16200000</v>
      </c>
      <c r="X90" s="119">
        <f>SUM(X85:X89)</f>
        <v>16200000</v>
      </c>
      <c r="Y90" s="119">
        <f>SUM(Y85:Y89)</f>
        <v>0</v>
      </c>
      <c r="Z90" s="252">
        <f t="shared" si="150"/>
        <v>16200000</v>
      </c>
      <c r="AA90" s="119"/>
      <c r="AB90" s="119"/>
      <c r="AC90" s="119"/>
      <c r="AD90" s="252">
        <f t="shared" si="150"/>
        <v>0</v>
      </c>
      <c r="AE90" s="119">
        <f t="shared" si="150"/>
        <v>0</v>
      </c>
      <c r="AF90" s="119">
        <f t="shared" si="150"/>
        <v>0</v>
      </c>
      <c r="AG90" s="252">
        <f t="shared" si="150"/>
        <v>0</v>
      </c>
      <c r="AH90" s="119"/>
      <c r="AI90" s="119">
        <f t="shared" si="150"/>
        <v>0</v>
      </c>
    </row>
    <row r="91" spans="1:35" ht="16.5" thickBot="1" x14ac:dyDescent="0.3">
      <c r="A91" s="55"/>
      <c r="B91" s="26" t="s">
        <v>12</v>
      </c>
      <c r="C91" s="27"/>
      <c r="D91" s="28"/>
      <c r="E91" s="29">
        <f t="shared" ref="E91:F91" si="151">E82+E90</f>
        <v>128883200</v>
      </c>
      <c r="F91" s="29">
        <f t="shared" si="151"/>
        <v>372107040</v>
      </c>
      <c r="G91" s="29">
        <f>G82+G90</f>
        <v>500990240</v>
      </c>
      <c r="H91" s="29">
        <f t="shared" ref="H91:AI91" si="152">H82+H90</f>
        <v>196717920</v>
      </c>
      <c r="I91" s="29">
        <f t="shared" si="152"/>
        <v>188540800</v>
      </c>
      <c r="J91" s="29">
        <f t="shared" si="152"/>
        <v>385258720</v>
      </c>
      <c r="K91" s="29">
        <f t="shared" si="152"/>
        <v>258728880</v>
      </c>
      <c r="L91" s="29">
        <f t="shared" si="152"/>
        <v>190218720</v>
      </c>
      <c r="M91" s="29">
        <f t="shared" si="152"/>
        <v>448947600</v>
      </c>
      <c r="N91" s="29">
        <f t="shared" si="152"/>
        <v>320013920</v>
      </c>
      <c r="O91" s="29">
        <f t="shared" si="152"/>
        <v>191911520</v>
      </c>
      <c r="P91" s="29">
        <f t="shared" si="152"/>
        <v>511925440</v>
      </c>
      <c r="Q91" s="29">
        <f t="shared" si="152"/>
        <v>389632240</v>
      </c>
      <c r="R91" s="29">
        <f t="shared" si="152"/>
        <v>193619440</v>
      </c>
      <c r="S91" s="29">
        <f t="shared" si="152"/>
        <v>583251680</v>
      </c>
      <c r="T91" s="29"/>
      <c r="U91" s="29">
        <f>U82+U90</f>
        <v>1293976160</v>
      </c>
      <c r="V91" s="29">
        <f>V82+V90</f>
        <v>1136397520</v>
      </c>
      <c r="W91" s="228">
        <f>W82+W90</f>
        <v>2430373680</v>
      </c>
      <c r="X91" s="29">
        <f>X82+X90</f>
        <v>578570000</v>
      </c>
      <c r="Y91" s="29">
        <f>Y82+Y90</f>
        <v>750866560</v>
      </c>
      <c r="Z91" s="253">
        <f t="shared" si="152"/>
        <v>1329436560</v>
      </c>
      <c r="AA91" s="29">
        <f>AA82+AA90</f>
        <v>5760000</v>
      </c>
      <c r="AB91" s="29">
        <f>AB82+AB90</f>
        <v>0</v>
      </c>
      <c r="AC91" s="29">
        <f>AC82+AC90</f>
        <v>0</v>
      </c>
      <c r="AD91" s="253">
        <f t="shared" si="152"/>
        <v>5760000</v>
      </c>
      <c r="AE91" s="29">
        <f t="shared" si="152"/>
        <v>709646160</v>
      </c>
      <c r="AF91" s="29">
        <f t="shared" si="152"/>
        <v>385530960</v>
      </c>
      <c r="AG91" s="253">
        <f t="shared" si="152"/>
        <v>1095177120</v>
      </c>
      <c r="AH91" s="29"/>
      <c r="AI91" s="29">
        <f t="shared" si="152"/>
        <v>0</v>
      </c>
    </row>
    <row r="92" spans="1:35" ht="16.5" thickBot="1" x14ac:dyDescent="0.3">
      <c r="A92" s="117"/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1"/>
      <c r="AF92" s="120"/>
      <c r="AG92" s="120"/>
      <c r="AH92" s="120"/>
      <c r="AI92" s="122"/>
    </row>
    <row r="93" spans="1:35" ht="18.75" x14ac:dyDescent="0.25">
      <c r="A93" s="51"/>
      <c r="B93" s="385" t="s">
        <v>63</v>
      </c>
      <c r="C93" s="366"/>
      <c r="D93" s="366"/>
      <c r="E93" s="366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  <c r="AA93" s="366"/>
      <c r="AB93" s="366"/>
      <c r="AC93" s="366"/>
      <c r="AD93" s="366"/>
      <c r="AE93" s="366"/>
      <c r="AF93" s="366"/>
      <c r="AG93" s="366"/>
      <c r="AH93" s="366"/>
      <c r="AI93" s="366"/>
    </row>
    <row r="94" spans="1:35" ht="18.75" x14ac:dyDescent="0.25">
      <c r="A94" s="51"/>
      <c r="B94" s="382" t="s">
        <v>191</v>
      </c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86"/>
      <c r="AF94" s="66"/>
      <c r="AG94" s="66">
        <f t="shared" ref="AG94:AG105" si="153">W94/96</f>
        <v>0</v>
      </c>
      <c r="AH94" s="66"/>
      <c r="AI94" s="66">
        <f t="shared" si="140"/>
        <v>0</v>
      </c>
    </row>
    <row r="95" spans="1:35" ht="31.5" x14ac:dyDescent="0.25">
      <c r="A95" s="387" t="s">
        <v>4</v>
      </c>
      <c r="B95" s="115" t="s">
        <v>192</v>
      </c>
      <c r="C95" s="49"/>
      <c r="D95" s="87"/>
      <c r="E95" s="87"/>
      <c r="F95" s="87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211"/>
      <c r="U95" s="40"/>
      <c r="V95" s="86"/>
      <c r="W95" s="234">
        <f>SUM(G95:S95)</f>
        <v>0</v>
      </c>
      <c r="X95" s="41"/>
      <c r="Y95" s="71"/>
      <c r="Z95" s="189"/>
      <c r="AA95" s="41"/>
      <c r="AB95" s="71"/>
      <c r="AC95" s="71"/>
      <c r="AD95" s="257"/>
      <c r="AE95" s="41"/>
      <c r="AF95" s="69">
        <f t="shared" ref="AF95" si="154">AD95</f>
        <v>0</v>
      </c>
      <c r="AG95" s="248">
        <f t="shared" si="153"/>
        <v>0</v>
      </c>
      <c r="AH95" s="247"/>
      <c r="AI95" s="69">
        <f t="shared" si="140"/>
        <v>0</v>
      </c>
    </row>
    <row r="96" spans="1:35" ht="47.25" x14ac:dyDescent="0.25">
      <c r="A96" s="387"/>
      <c r="B96" s="114" t="s">
        <v>65</v>
      </c>
      <c r="C96" s="49" t="s">
        <v>267</v>
      </c>
      <c r="D96" s="9"/>
      <c r="E96" s="12"/>
      <c r="F96" s="9"/>
      <c r="G96" s="12"/>
      <c r="H96" s="12">
        <f>60*50000</f>
        <v>3000000</v>
      </c>
      <c r="I96" s="12"/>
      <c r="J96" s="12">
        <f>60*50000</f>
        <v>3000000</v>
      </c>
      <c r="K96" s="12"/>
      <c r="L96" s="12"/>
      <c r="M96" s="12"/>
      <c r="N96" s="12"/>
      <c r="O96" s="12"/>
      <c r="P96" s="12"/>
      <c r="Q96" s="12"/>
      <c r="R96" s="12"/>
      <c r="S96" s="12"/>
      <c r="T96" s="212"/>
      <c r="U96" s="186">
        <f t="shared" ref="U96:W100" si="155">E96+H96+K96+N96+Q96</f>
        <v>3000000</v>
      </c>
      <c r="V96" s="186">
        <f t="shared" si="155"/>
        <v>0</v>
      </c>
      <c r="W96" s="235">
        <f t="shared" si="155"/>
        <v>3000000</v>
      </c>
      <c r="X96" s="31">
        <v>0</v>
      </c>
      <c r="Y96" s="31">
        <f>F96+I96+L96-AB96</f>
        <v>0</v>
      </c>
      <c r="Z96" s="243">
        <v>0</v>
      </c>
      <c r="AA96" s="31">
        <v>3000000</v>
      </c>
      <c r="AB96" s="20"/>
      <c r="AC96" s="20"/>
      <c r="AD96" s="199">
        <v>3000000</v>
      </c>
      <c r="AE96" s="80">
        <f t="shared" ref="AE96:AG96" si="156">N96+Q96</f>
        <v>0</v>
      </c>
      <c r="AF96" s="80">
        <f t="shared" si="156"/>
        <v>0</v>
      </c>
      <c r="AG96" s="243">
        <f t="shared" si="156"/>
        <v>0</v>
      </c>
      <c r="AH96" s="118"/>
      <c r="AI96" s="12">
        <f>W96-Z96-AD96-AG96</f>
        <v>0</v>
      </c>
    </row>
    <row r="97" spans="1:35" ht="31.5" x14ac:dyDescent="0.25">
      <c r="A97" s="387"/>
      <c r="B97" s="115" t="s">
        <v>193</v>
      </c>
      <c r="C97" s="49"/>
      <c r="D97" s="86"/>
      <c r="E97" s="69"/>
      <c r="F97" s="86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211"/>
      <c r="U97" s="186">
        <f t="shared" si="155"/>
        <v>0</v>
      </c>
      <c r="V97" s="186">
        <f t="shared" si="155"/>
        <v>0</v>
      </c>
      <c r="W97" s="235">
        <f t="shared" si="155"/>
        <v>0</v>
      </c>
      <c r="X97" s="41"/>
      <c r="Y97" s="71"/>
      <c r="Z97" s="189"/>
      <c r="AA97" s="41"/>
      <c r="AB97" s="71"/>
      <c r="AC97" s="71"/>
      <c r="AD97" s="189"/>
      <c r="AE97" s="41"/>
      <c r="AF97" s="69">
        <f t="shared" ref="AF97" si="157">AD97</f>
        <v>0</v>
      </c>
      <c r="AG97" s="248">
        <f t="shared" si="153"/>
        <v>0</v>
      </c>
      <c r="AH97" s="247"/>
      <c r="AI97" s="69">
        <f t="shared" si="140"/>
        <v>0</v>
      </c>
    </row>
    <row r="98" spans="1:35" ht="31.5" x14ac:dyDescent="0.25">
      <c r="A98" s="387"/>
      <c r="B98" s="141" t="s">
        <v>66</v>
      </c>
      <c r="C98" s="49" t="s">
        <v>256</v>
      </c>
      <c r="D98" s="12">
        <v>70330</v>
      </c>
      <c r="E98" s="12">
        <v>2095663000</v>
      </c>
      <c r="F98" s="12"/>
      <c r="G98" s="12">
        <v>2095663000</v>
      </c>
      <c r="H98" s="12">
        <v>2410000000</v>
      </c>
      <c r="I98" s="12"/>
      <c r="J98" s="12">
        <v>2410000000</v>
      </c>
      <c r="K98" s="12">
        <v>2430000000</v>
      </c>
      <c r="L98" s="12"/>
      <c r="M98" s="12">
        <v>2430000000</v>
      </c>
      <c r="N98" s="12">
        <v>2430000000</v>
      </c>
      <c r="O98" s="12"/>
      <c r="P98" s="12">
        <v>2430000000</v>
      </c>
      <c r="Q98" s="12">
        <v>2430000000</v>
      </c>
      <c r="R98" s="12"/>
      <c r="S98" s="12">
        <v>2430000000</v>
      </c>
      <c r="T98" s="212"/>
      <c r="U98" s="186">
        <f t="shared" si="155"/>
        <v>11795663000</v>
      </c>
      <c r="V98" s="186">
        <f t="shared" si="155"/>
        <v>0</v>
      </c>
      <c r="W98" s="235">
        <f t="shared" si="155"/>
        <v>11795663000</v>
      </c>
      <c r="X98" s="31">
        <f t="shared" ref="X98:Y98" si="158">E98+H98+K98-AA98</f>
        <v>6935663000</v>
      </c>
      <c r="Y98" s="31">
        <f t="shared" si="158"/>
        <v>0</v>
      </c>
      <c r="Z98" s="243">
        <f t="shared" ref="Z98" si="159">G98+J98+M98-AD98</f>
        <v>6935663000</v>
      </c>
      <c r="AA98" s="31"/>
      <c r="AB98" s="21"/>
      <c r="AC98" s="21"/>
      <c r="AD98" s="198"/>
      <c r="AE98" s="80">
        <f t="shared" ref="AE98:AG98" si="160">N98+Q98</f>
        <v>4860000000</v>
      </c>
      <c r="AF98" s="80">
        <f t="shared" si="160"/>
        <v>0</v>
      </c>
      <c r="AG98" s="243">
        <f t="shared" si="160"/>
        <v>4860000000</v>
      </c>
      <c r="AH98" s="118"/>
      <c r="AI98" s="12">
        <f>W98-Z98-AD98-AG98</f>
        <v>0</v>
      </c>
    </row>
    <row r="99" spans="1:35" ht="47.25" x14ac:dyDescent="0.25">
      <c r="A99" s="387"/>
      <c r="B99" s="115" t="s">
        <v>194</v>
      </c>
      <c r="C99" s="49"/>
      <c r="D99" s="87"/>
      <c r="E99" s="102"/>
      <c r="F99" s="87"/>
      <c r="G99" s="102"/>
      <c r="H99" s="102"/>
      <c r="I99" s="102"/>
      <c r="J99" s="102"/>
      <c r="K99" s="69"/>
      <c r="L99" s="102"/>
      <c r="M99" s="69"/>
      <c r="N99" s="70"/>
      <c r="O99" s="69"/>
      <c r="P99" s="70"/>
      <c r="Q99" s="70"/>
      <c r="R99" s="70"/>
      <c r="S99" s="70"/>
      <c r="T99" s="211"/>
      <c r="U99" s="186">
        <f t="shared" si="155"/>
        <v>0</v>
      </c>
      <c r="V99" s="186">
        <f t="shared" si="155"/>
        <v>0</v>
      </c>
      <c r="W99" s="235">
        <f t="shared" si="155"/>
        <v>0</v>
      </c>
      <c r="X99" s="41"/>
      <c r="Y99" s="71"/>
      <c r="Z99" s="189"/>
      <c r="AA99" s="41"/>
      <c r="AB99" s="71"/>
      <c r="AC99" s="71"/>
      <c r="AD99" s="258"/>
      <c r="AE99" s="256"/>
      <c r="AF99" s="69"/>
      <c r="AG99" s="248">
        <f t="shared" si="153"/>
        <v>0</v>
      </c>
      <c r="AH99" s="247"/>
      <c r="AI99" s="69">
        <f t="shared" si="140"/>
        <v>0</v>
      </c>
    </row>
    <row r="100" spans="1:35" ht="47.25" x14ac:dyDescent="0.25">
      <c r="A100" s="387"/>
      <c r="B100" s="141" t="s">
        <v>67</v>
      </c>
      <c r="C100" s="49" t="s">
        <v>268</v>
      </c>
      <c r="D100" s="9"/>
      <c r="E100" s="12">
        <v>100000000</v>
      </c>
      <c r="F100" s="9"/>
      <c r="G100" s="12">
        <v>100000000</v>
      </c>
      <c r="H100" s="12">
        <v>100000000</v>
      </c>
      <c r="I100" s="12"/>
      <c r="J100" s="12">
        <v>100000000</v>
      </c>
      <c r="K100" s="12">
        <v>100000000</v>
      </c>
      <c r="L100" s="12"/>
      <c r="M100" s="12">
        <v>100000000</v>
      </c>
      <c r="N100" s="12">
        <v>100000000</v>
      </c>
      <c r="O100" s="12"/>
      <c r="P100" s="12">
        <v>100000000</v>
      </c>
      <c r="Q100" s="12">
        <v>100000000</v>
      </c>
      <c r="R100" s="12"/>
      <c r="S100" s="12">
        <v>100000000</v>
      </c>
      <c r="T100" s="212"/>
      <c r="U100" s="186">
        <f t="shared" si="155"/>
        <v>500000000</v>
      </c>
      <c r="V100" s="186">
        <f t="shared" si="155"/>
        <v>0</v>
      </c>
      <c r="W100" s="235">
        <f t="shared" si="155"/>
        <v>500000000</v>
      </c>
      <c r="X100" s="31">
        <f>E100+H100+K100-AA100</f>
        <v>300000000</v>
      </c>
      <c r="Y100" s="31">
        <f t="shared" ref="Y100" si="161">F100+I100+L100-AB100</f>
        <v>0</v>
      </c>
      <c r="Z100" s="243">
        <f t="shared" ref="Z100" si="162">G100+J100+M100-AD100</f>
        <v>300000000</v>
      </c>
      <c r="AA100" s="31"/>
      <c r="AB100" s="21"/>
      <c r="AC100" s="21"/>
      <c r="AD100" s="198"/>
      <c r="AE100" s="80">
        <f t="shared" ref="AE100:AG100" si="163">N100+Q100</f>
        <v>200000000</v>
      </c>
      <c r="AF100" s="80">
        <f t="shared" si="163"/>
        <v>0</v>
      </c>
      <c r="AG100" s="243">
        <f t="shared" si="163"/>
        <v>200000000</v>
      </c>
      <c r="AH100" s="118"/>
      <c r="AI100" s="12">
        <f>W100-Z100-AD100-AG100</f>
        <v>0</v>
      </c>
    </row>
    <row r="101" spans="1:35" ht="15.75" x14ac:dyDescent="0.25">
      <c r="A101" s="387"/>
      <c r="B101" s="48" t="s">
        <v>76</v>
      </c>
      <c r="C101" s="16"/>
      <c r="D101" s="17"/>
      <c r="E101" s="18">
        <f>SUM(E95:E100)</f>
        <v>2195663000</v>
      </c>
      <c r="F101" s="18">
        <f t="shared" ref="F101:S101" si="164">SUM(F95:F100)</f>
        <v>0</v>
      </c>
      <c r="G101" s="18">
        <f t="shared" si="164"/>
        <v>2195663000</v>
      </c>
      <c r="H101" s="18">
        <f t="shared" si="164"/>
        <v>2513000000</v>
      </c>
      <c r="I101" s="18">
        <f t="shared" si="164"/>
        <v>0</v>
      </c>
      <c r="J101" s="18">
        <f t="shared" si="164"/>
        <v>2513000000</v>
      </c>
      <c r="K101" s="18">
        <f t="shared" si="164"/>
        <v>2530000000</v>
      </c>
      <c r="L101" s="18">
        <f t="shared" si="164"/>
        <v>0</v>
      </c>
      <c r="M101" s="18">
        <f t="shared" si="164"/>
        <v>2530000000</v>
      </c>
      <c r="N101" s="18">
        <f t="shared" si="164"/>
        <v>2530000000</v>
      </c>
      <c r="O101" s="18">
        <f t="shared" si="164"/>
        <v>0</v>
      </c>
      <c r="P101" s="18">
        <f t="shared" si="164"/>
        <v>2530000000</v>
      </c>
      <c r="Q101" s="18">
        <f t="shared" si="164"/>
        <v>2530000000</v>
      </c>
      <c r="R101" s="18">
        <f t="shared" si="164"/>
        <v>0</v>
      </c>
      <c r="S101" s="18">
        <f t="shared" si="164"/>
        <v>2530000000</v>
      </c>
      <c r="T101" s="18"/>
      <c r="U101" s="119">
        <f>SUM(U95:U100)</f>
        <v>12298663000</v>
      </c>
      <c r="V101" s="119">
        <f>SUM(V95:V100)</f>
        <v>0</v>
      </c>
      <c r="W101" s="239">
        <f t="shared" ref="W101" si="165">SUM(W95:W100)</f>
        <v>12298663000</v>
      </c>
      <c r="X101" s="119">
        <f>SUM(X96:X100)</f>
        <v>7235663000</v>
      </c>
      <c r="Y101" s="119">
        <f>SUM(Y96:Y100)</f>
        <v>0</v>
      </c>
      <c r="Z101" s="252">
        <f t="shared" ref="Z101" si="166">SUM(Z95:Z100)</f>
        <v>7235663000</v>
      </c>
      <c r="AA101" s="18">
        <f>SUM(AA95:AA100)</f>
        <v>3000000</v>
      </c>
      <c r="AB101" s="18">
        <f>SUM(AB95:AB100)</f>
        <v>0</v>
      </c>
      <c r="AC101" s="18">
        <f>SUM(AC95:AC100)</f>
        <v>0</v>
      </c>
      <c r="AD101" s="255">
        <f t="shared" ref="AD101:AI101" si="167">SUM(AD95:AD100)</f>
        <v>3000000</v>
      </c>
      <c r="AE101" s="119">
        <f>SUM(AE95:AE100)</f>
        <v>5060000000</v>
      </c>
      <c r="AF101" s="119">
        <f t="shared" si="167"/>
        <v>0</v>
      </c>
      <c r="AG101" s="252">
        <f t="shared" si="167"/>
        <v>5060000000</v>
      </c>
      <c r="AH101" s="18"/>
      <c r="AI101" s="18">
        <f t="shared" si="167"/>
        <v>0</v>
      </c>
    </row>
    <row r="102" spans="1:35" ht="18.75" x14ac:dyDescent="0.25">
      <c r="A102" s="387"/>
      <c r="B102" s="382" t="s">
        <v>68</v>
      </c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86"/>
      <c r="AF102" s="66"/>
      <c r="AG102" s="66">
        <f t="shared" ref="AG102:AG103" si="168">W102/96</f>
        <v>0</v>
      </c>
      <c r="AH102" s="66"/>
      <c r="AI102" s="66">
        <f t="shared" ref="AI102:AI103" si="169">W102-Z102-AF102</f>
        <v>0</v>
      </c>
    </row>
    <row r="103" spans="1:35" ht="63" x14ac:dyDescent="0.25">
      <c r="A103" s="387"/>
      <c r="B103" s="115" t="s">
        <v>195</v>
      </c>
      <c r="C103" s="49"/>
      <c r="D103" s="87"/>
      <c r="E103" s="87"/>
      <c r="F103" s="87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211"/>
      <c r="U103" s="40"/>
      <c r="V103" s="86"/>
      <c r="W103" s="234">
        <f>SUM(G103:S103)</f>
        <v>0</v>
      </c>
      <c r="X103" s="41"/>
      <c r="Y103" s="71"/>
      <c r="Z103" s="189"/>
      <c r="AA103" s="41"/>
      <c r="AB103" s="71"/>
      <c r="AC103" s="71"/>
      <c r="AD103" s="257"/>
      <c r="AE103" s="41"/>
      <c r="AF103" s="69">
        <f t="shared" ref="AF103" si="170">AD103</f>
        <v>0</v>
      </c>
      <c r="AG103" s="248">
        <f t="shared" si="168"/>
        <v>0</v>
      </c>
      <c r="AH103" s="247"/>
      <c r="AI103" s="69">
        <f t="shared" si="169"/>
        <v>0</v>
      </c>
    </row>
    <row r="104" spans="1:35" ht="31.5" x14ac:dyDescent="0.25">
      <c r="A104" s="387"/>
      <c r="B104" s="114" t="s">
        <v>164</v>
      </c>
      <c r="C104" s="49" t="s">
        <v>267</v>
      </c>
      <c r="D104" s="9"/>
      <c r="E104" s="12">
        <f>100*30000</f>
        <v>3000000</v>
      </c>
      <c r="F104" s="9"/>
      <c r="G104" s="12">
        <f>100*30000</f>
        <v>3000000</v>
      </c>
      <c r="H104" s="12">
        <f t="shared" ref="H104:S104" si="171">100*30000</f>
        <v>3000000</v>
      </c>
      <c r="I104" s="12"/>
      <c r="J104" s="12">
        <f t="shared" si="171"/>
        <v>3000000</v>
      </c>
      <c r="K104" s="12">
        <f t="shared" si="171"/>
        <v>3000000</v>
      </c>
      <c r="L104" s="12"/>
      <c r="M104" s="12">
        <f t="shared" si="171"/>
        <v>3000000</v>
      </c>
      <c r="N104" s="12">
        <f t="shared" si="171"/>
        <v>3000000</v>
      </c>
      <c r="O104" s="12"/>
      <c r="P104" s="12">
        <f t="shared" si="171"/>
        <v>3000000</v>
      </c>
      <c r="Q104" s="12">
        <f t="shared" si="171"/>
        <v>3000000</v>
      </c>
      <c r="R104" s="12"/>
      <c r="S104" s="12">
        <f t="shared" si="171"/>
        <v>3000000</v>
      </c>
      <c r="T104" s="212"/>
      <c r="U104" s="186">
        <f t="shared" ref="U104:W117" si="172">E104+H104+K104+N104+Q104</f>
        <v>15000000</v>
      </c>
      <c r="V104" s="186">
        <f t="shared" si="172"/>
        <v>0</v>
      </c>
      <c r="W104" s="235">
        <f t="shared" si="172"/>
        <v>15000000</v>
      </c>
      <c r="X104" s="31">
        <f>E104+H104+K104-AA104</f>
        <v>4000000</v>
      </c>
      <c r="Y104" s="31">
        <f t="shared" ref="Y104" si="173">F104+I104+L104-AB104</f>
        <v>0</v>
      </c>
      <c r="Z104" s="243">
        <f t="shared" ref="Z104" si="174">G104+J104+M104-AD104</f>
        <v>4000000</v>
      </c>
      <c r="AA104" s="31">
        <v>5000000</v>
      </c>
      <c r="AB104" s="21"/>
      <c r="AC104" s="21"/>
      <c r="AD104" s="198">
        <f>AA104+AB104</f>
        <v>5000000</v>
      </c>
      <c r="AE104" s="80">
        <f t="shared" ref="AE104:AG104" si="175">N104+Q104</f>
        <v>6000000</v>
      </c>
      <c r="AF104" s="80">
        <f t="shared" si="175"/>
        <v>0</v>
      </c>
      <c r="AG104" s="243">
        <f t="shared" si="175"/>
        <v>6000000</v>
      </c>
      <c r="AH104" s="118"/>
      <c r="AI104" s="12">
        <f>W104-Z104-AD104-AG104</f>
        <v>0</v>
      </c>
    </row>
    <row r="105" spans="1:35" ht="31.5" x14ac:dyDescent="0.25">
      <c r="A105" s="77"/>
      <c r="B105" s="115" t="s">
        <v>196</v>
      </c>
      <c r="C105" s="49"/>
      <c r="D105" s="87"/>
      <c r="E105" s="69"/>
      <c r="F105" s="87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211"/>
      <c r="U105" s="186">
        <f t="shared" si="172"/>
        <v>0</v>
      </c>
      <c r="V105" s="186">
        <f t="shared" si="172"/>
        <v>0</v>
      </c>
      <c r="W105" s="235">
        <f t="shared" si="172"/>
        <v>0</v>
      </c>
      <c r="X105" s="41"/>
      <c r="Y105" s="71"/>
      <c r="Z105" s="189"/>
      <c r="AA105" s="41"/>
      <c r="AB105" s="71"/>
      <c r="AC105" s="71"/>
      <c r="AD105" s="257"/>
      <c r="AE105" s="41"/>
      <c r="AF105" s="69">
        <f t="shared" ref="AF105" si="176">AD105</f>
        <v>0</v>
      </c>
      <c r="AG105" s="248">
        <f t="shared" si="153"/>
        <v>0</v>
      </c>
      <c r="AH105" s="247"/>
      <c r="AI105" s="69">
        <f t="shared" ref="AI105" si="177">W105-Z105-AF105</f>
        <v>0</v>
      </c>
    </row>
    <row r="106" spans="1:35" ht="31.5" x14ac:dyDescent="0.25">
      <c r="A106" s="77"/>
      <c r="B106" s="114" t="s">
        <v>69</v>
      </c>
      <c r="C106" s="49" t="s">
        <v>267</v>
      </c>
      <c r="D106" s="9"/>
      <c r="E106" s="80">
        <f>60*3*40000</f>
        <v>7200000</v>
      </c>
      <c r="F106" s="9"/>
      <c r="G106" s="80">
        <f>60*3*40000</f>
        <v>7200000</v>
      </c>
      <c r="H106" s="80"/>
      <c r="I106" s="80"/>
      <c r="J106" s="80"/>
      <c r="K106" s="80"/>
      <c r="L106" s="80"/>
      <c r="M106" s="80"/>
      <c r="N106" s="79"/>
      <c r="O106" s="80"/>
      <c r="P106" s="79"/>
      <c r="Q106" s="79"/>
      <c r="R106" s="79"/>
      <c r="S106" s="79"/>
      <c r="T106" s="216"/>
      <c r="U106" s="186">
        <f t="shared" si="172"/>
        <v>7200000</v>
      </c>
      <c r="V106" s="186">
        <f t="shared" si="172"/>
        <v>0</v>
      </c>
      <c r="W106" s="235">
        <f t="shared" si="172"/>
        <v>7200000</v>
      </c>
      <c r="X106" s="31">
        <f>E106+H106+K106-AA106</f>
        <v>7200000</v>
      </c>
      <c r="Y106" s="31">
        <f t="shared" ref="Y106" si="178">F106+I106+L106-AB106</f>
        <v>0</v>
      </c>
      <c r="Z106" s="243">
        <f t="shared" ref="Z106" si="179">G106+J106+M106-AD106</f>
        <v>7200000</v>
      </c>
      <c r="AA106" s="76"/>
      <c r="AB106" s="76"/>
      <c r="AC106" s="76"/>
      <c r="AD106" s="198">
        <f t="shared" ref="AD106:AD107" si="180">AA106+AB106</f>
        <v>0</v>
      </c>
      <c r="AE106" s="80">
        <f t="shared" ref="AE106:AG107" si="181">N106+Q106</f>
        <v>0</v>
      </c>
      <c r="AF106" s="80">
        <f t="shared" si="181"/>
        <v>0</v>
      </c>
      <c r="AG106" s="243">
        <f t="shared" si="181"/>
        <v>0</v>
      </c>
      <c r="AH106" s="118"/>
      <c r="AI106" s="12">
        <f>W106-Z106-AD106-AG106</f>
        <v>0</v>
      </c>
    </row>
    <row r="107" spans="1:35" ht="31.5" x14ac:dyDescent="0.25">
      <c r="A107" s="77"/>
      <c r="B107" s="114" t="s">
        <v>70</v>
      </c>
      <c r="C107" s="49" t="s">
        <v>256</v>
      </c>
      <c r="D107" s="9">
        <f>15000*96</f>
        <v>1440000</v>
      </c>
      <c r="E107" s="80"/>
      <c r="F107" s="9"/>
      <c r="G107" s="80"/>
      <c r="H107" s="80"/>
      <c r="I107" s="80">
        <v>28800000</v>
      </c>
      <c r="J107" s="80">
        <f>20*$D107</f>
        <v>28800000</v>
      </c>
      <c r="K107" s="80"/>
      <c r="L107" s="80">
        <f t="shared" ref="L107:S107" si="182">20*$D107</f>
        <v>28800000</v>
      </c>
      <c r="M107" s="80">
        <f t="shared" si="182"/>
        <v>28800000</v>
      </c>
      <c r="N107" s="80"/>
      <c r="O107" s="80">
        <f t="shared" si="182"/>
        <v>28800000</v>
      </c>
      <c r="P107" s="80">
        <f t="shared" si="182"/>
        <v>28800000</v>
      </c>
      <c r="Q107" s="80"/>
      <c r="R107" s="80">
        <f t="shared" si="182"/>
        <v>28800000</v>
      </c>
      <c r="S107" s="80">
        <f t="shared" si="182"/>
        <v>28800000</v>
      </c>
      <c r="T107" s="216"/>
      <c r="U107" s="186">
        <f t="shared" si="172"/>
        <v>0</v>
      </c>
      <c r="V107" s="186">
        <f t="shared" si="172"/>
        <v>115200000</v>
      </c>
      <c r="W107" s="235">
        <f t="shared" si="172"/>
        <v>115200000</v>
      </c>
      <c r="X107" s="31">
        <f>E107+H107+K107-AA107</f>
        <v>0</v>
      </c>
      <c r="Y107" s="31">
        <v>0</v>
      </c>
      <c r="Z107" s="243">
        <v>0</v>
      </c>
      <c r="AA107" s="76"/>
      <c r="AB107" s="76"/>
      <c r="AC107" s="76"/>
      <c r="AD107" s="198">
        <f t="shared" si="180"/>
        <v>0</v>
      </c>
      <c r="AE107" s="80">
        <f t="shared" si="181"/>
        <v>0</v>
      </c>
      <c r="AF107" s="80">
        <v>0</v>
      </c>
      <c r="AG107" s="243">
        <v>0</v>
      </c>
      <c r="AH107" s="118"/>
      <c r="AI107" s="12">
        <f>W107-Z107-AD107-AG107</f>
        <v>115200000</v>
      </c>
    </row>
    <row r="108" spans="1:35" ht="31.5" x14ac:dyDescent="0.25">
      <c r="A108" s="77"/>
      <c r="B108" s="115" t="s">
        <v>71</v>
      </c>
      <c r="C108" s="49"/>
      <c r="D108" s="87"/>
      <c r="E108" s="69"/>
      <c r="F108" s="87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211"/>
      <c r="U108" s="186">
        <f t="shared" si="172"/>
        <v>0</v>
      </c>
      <c r="V108" s="186">
        <f t="shared" si="172"/>
        <v>0</v>
      </c>
      <c r="W108" s="235">
        <f t="shared" si="172"/>
        <v>0</v>
      </c>
      <c r="X108" s="41"/>
      <c r="Y108" s="71"/>
      <c r="Z108" s="189"/>
      <c r="AA108" s="41"/>
      <c r="AB108" s="71"/>
      <c r="AC108" s="71"/>
      <c r="AD108" s="257"/>
      <c r="AE108" s="41"/>
      <c r="AF108" s="69">
        <f t="shared" ref="AF108" si="183">AD108</f>
        <v>0</v>
      </c>
      <c r="AG108" s="248">
        <f t="shared" ref="AG108" si="184">W108/96</f>
        <v>0</v>
      </c>
      <c r="AH108" s="247"/>
      <c r="AI108" s="69">
        <f t="shared" ref="AI108" si="185">W108-Z108-AF108</f>
        <v>0</v>
      </c>
    </row>
    <row r="109" spans="1:35" ht="31.5" x14ac:dyDescent="0.25">
      <c r="A109" s="77"/>
      <c r="B109" s="114" t="s">
        <v>72</v>
      </c>
      <c r="C109" s="49" t="s">
        <v>256</v>
      </c>
      <c r="D109" s="9"/>
      <c r="E109" s="80"/>
      <c r="F109" s="9"/>
      <c r="G109" s="80"/>
      <c r="H109" s="80"/>
      <c r="I109" s="80"/>
      <c r="J109" s="80"/>
      <c r="K109" s="80"/>
      <c r="L109" s="80"/>
      <c r="M109" s="80"/>
      <c r="N109" s="79"/>
      <c r="O109" s="80"/>
      <c r="P109" s="79"/>
      <c r="Q109" s="79"/>
      <c r="R109" s="79"/>
      <c r="S109" s="79"/>
      <c r="T109" s="216"/>
      <c r="U109" s="186">
        <f t="shared" si="172"/>
        <v>0</v>
      </c>
      <c r="V109" s="186">
        <f t="shared" si="172"/>
        <v>0</v>
      </c>
      <c r="W109" s="235">
        <f t="shared" si="172"/>
        <v>0</v>
      </c>
      <c r="X109" s="31">
        <f>E109+H109+K109-AA109</f>
        <v>0</v>
      </c>
      <c r="Y109" s="31">
        <f t="shared" ref="Y109" si="186">F109+I109+L109-AB109</f>
        <v>0</v>
      </c>
      <c r="Z109" s="243">
        <f t="shared" ref="Z109" si="187">G109+J109+M109-AD109</f>
        <v>0</v>
      </c>
      <c r="AA109" s="76"/>
      <c r="AB109" s="76"/>
      <c r="AC109" s="76"/>
      <c r="AD109" s="198">
        <f>AA109+AB109</f>
        <v>0</v>
      </c>
      <c r="AE109" s="80">
        <f t="shared" ref="AE109:AG109" si="188">N109+Q109</f>
        <v>0</v>
      </c>
      <c r="AF109" s="80">
        <f t="shared" si="188"/>
        <v>0</v>
      </c>
      <c r="AG109" s="243">
        <f t="shared" si="188"/>
        <v>0</v>
      </c>
      <c r="AH109" s="118"/>
      <c r="AI109" s="12">
        <f>W109-Z109-AD109-AG109</f>
        <v>0</v>
      </c>
    </row>
    <row r="110" spans="1:35" ht="63" x14ac:dyDescent="0.25">
      <c r="A110" s="77"/>
      <c r="B110" s="115" t="s">
        <v>197</v>
      </c>
      <c r="C110" s="49"/>
      <c r="D110" s="87"/>
      <c r="E110" s="69"/>
      <c r="F110" s="87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211"/>
      <c r="U110" s="186">
        <f t="shared" si="172"/>
        <v>0</v>
      </c>
      <c r="V110" s="186">
        <f t="shared" si="172"/>
        <v>0</v>
      </c>
      <c r="W110" s="235">
        <f t="shared" si="172"/>
        <v>0</v>
      </c>
      <c r="X110" s="41"/>
      <c r="Y110" s="71"/>
      <c r="Z110" s="189"/>
      <c r="AA110" s="41"/>
      <c r="AB110" s="71"/>
      <c r="AC110" s="71"/>
      <c r="AD110" s="257"/>
      <c r="AE110" s="41"/>
      <c r="AF110" s="69">
        <f t="shared" ref="AF110" si="189">AD110</f>
        <v>0</v>
      </c>
      <c r="AG110" s="248">
        <f t="shared" ref="AG110" si="190">W110/96</f>
        <v>0</v>
      </c>
      <c r="AH110" s="247"/>
      <c r="AI110" s="69">
        <f t="shared" ref="AI110" si="191">W110-Z110-AF110</f>
        <v>0</v>
      </c>
    </row>
    <row r="111" spans="1:35" ht="47.25" x14ac:dyDescent="0.25">
      <c r="A111" s="77"/>
      <c r="B111" s="114" t="s">
        <v>73</v>
      </c>
      <c r="C111" s="49" t="s">
        <v>267</v>
      </c>
      <c r="D111" s="9"/>
      <c r="E111" s="80">
        <v>7000000</v>
      </c>
      <c r="F111" s="9"/>
      <c r="G111" s="80">
        <v>7000000</v>
      </c>
      <c r="H111" s="80">
        <v>7000000</v>
      </c>
      <c r="I111" s="80"/>
      <c r="J111" s="80">
        <v>7000000</v>
      </c>
      <c r="K111" s="80">
        <v>7000000</v>
      </c>
      <c r="L111" s="80"/>
      <c r="M111" s="80">
        <v>7000000</v>
      </c>
      <c r="N111" s="80">
        <v>7000000</v>
      </c>
      <c r="O111" s="80"/>
      <c r="P111" s="80">
        <v>7000000</v>
      </c>
      <c r="Q111" s="80">
        <v>7000000</v>
      </c>
      <c r="R111" s="80"/>
      <c r="S111" s="80">
        <v>7000000</v>
      </c>
      <c r="T111" s="216"/>
      <c r="U111" s="186">
        <f t="shared" si="172"/>
        <v>35000000</v>
      </c>
      <c r="V111" s="186">
        <f t="shared" si="172"/>
        <v>0</v>
      </c>
      <c r="W111" s="235">
        <f t="shared" si="172"/>
        <v>35000000</v>
      </c>
      <c r="X111" s="31">
        <f>E111+H111+K111-AA111</f>
        <v>20000000</v>
      </c>
      <c r="Y111" s="31">
        <f t="shared" ref="Y111" si="192">F111+I111+L111-AB111</f>
        <v>0</v>
      </c>
      <c r="Z111" s="243">
        <f t="shared" ref="Z111" si="193">G111+J111+M111-AD111</f>
        <v>20000000</v>
      </c>
      <c r="AA111" s="31">
        <v>1000000</v>
      </c>
      <c r="AB111" s="76"/>
      <c r="AC111" s="76"/>
      <c r="AD111" s="198">
        <f>AA111+AB111</f>
        <v>1000000</v>
      </c>
      <c r="AE111" s="80">
        <f t="shared" ref="AE111:AG111" si="194">N111+Q111</f>
        <v>14000000</v>
      </c>
      <c r="AF111" s="80">
        <f t="shared" si="194"/>
        <v>0</v>
      </c>
      <c r="AG111" s="243">
        <f t="shared" si="194"/>
        <v>14000000</v>
      </c>
      <c r="AH111" s="118"/>
      <c r="AI111" s="12">
        <f>W111-Z111-AD111-AG111</f>
        <v>0</v>
      </c>
    </row>
    <row r="112" spans="1:35" ht="63" x14ac:dyDescent="0.25">
      <c r="A112" s="77"/>
      <c r="B112" s="115" t="s">
        <v>198</v>
      </c>
      <c r="C112" s="49"/>
      <c r="D112" s="87"/>
      <c r="E112" s="69"/>
      <c r="F112" s="87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211"/>
      <c r="U112" s="186">
        <f t="shared" si="172"/>
        <v>0</v>
      </c>
      <c r="V112" s="186">
        <f t="shared" si="172"/>
        <v>0</v>
      </c>
      <c r="W112" s="235">
        <f t="shared" si="172"/>
        <v>0</v>
      </c>
      <c r="X112" s="41"/>
      <c r="Y112" s="71"/>
      <c r="Z112" s="189"/>
      <c r="AA112" s="41"/>
      <c r="AB112" s="71"/>
      <c r="AC112" s="71"/>
      <c r="AD112" s="257"/>
      <c r="AE112" s="41"/>
      <c r="AF112" s="69">
        <f t="shared" ref="AF112" si="195">AD112</f>
        <v>0</v>
      </c>
      <c r="AG112" s="248">
        <f t="shared" ref="AG112" si="196">W112/96</f>
        <v>0</v>
      </c>
      <c r="AH112" s="247"/>
      <c r="AI112" s="69">
        <f t="shared" ref="AI112" si="197">W112-Z112-AF112</f>
        <v>0</v>
      </c>
    </row>
    <row r="113" spans="1:35" ht="47.25" x14ac:dyDescent="0.25">
      <c r="A113" s="77"/>
      <c r="B113" s="141" t="s">
        <v>74</v>
      </c>
      <c r="C113" s="49" t="s">
        <v>267</v>
      </c>
      <c r="D113" s="9"/>
      <c r="E113" s="80">
        <v>120000000</v>
      </c>
      <c r="F113" s="9"/>
      <c r="G113" s="80">
        <v>120000000</v>
      </c>
      <c r="H113" s="80">
        <v>120000000</v>
      </c>
      <c r="I113" s="80"/>
      <c r="J113" s="80">
        <v>120000000</v>
      </c>
      <c r="K113" s="80">
        <v>120000000</v>
      </c>
      <c r="L113" s="80"/>
      <c r="M113" s="80">
        <v>120000000</v>
      </c>
      <c r="N113" s="80">
        <v>120000000</v>
      </c>
      <c r="O113" s="80"/>
      <c r="P113" s="80">
        <v>120000000</v>
      </c>
      <c r="Q113" s="80">
        <v>120000000</v>
      </c>
      <c r="R113" s="80"/>
      <c r="S113" s="80">
        <v>120000000</v>
      </c>
      <c r="T113" s="216"/>
      <c r="U113" s="186">
        <f t="shared" si="172"/>
        <v>600000000</v>
      </c>
      <c r="V113" s="186">
        <f t="shared" si="172"/>
        <v>0</v>
      </c>
      <c r="W113" s="235">
        <f t="shared" si="172"/>
        <v>600000000</v>
      </c>
      <c r="X113" s="31">
        <f>E113+H113+K113-AA113</f>
        <v>360000000</v>
      </c>
      <c r="Y113" s="31">
        <f t="shared" ref="Y113:Y114" si="198">F113+I113+L113-AB113</f>
        <v>0</v>
      </c>
      <c r="Z113" s="243">
        <f t="shared" ref="Z113" si="199">G113+J113+M113-AD113</f>
        <v>360000000</v>
      </c>
      <c r="AA113" s="76"/>
      <c r="AB113" s="76"/>
      <c r="AC113" s="76"/>
      <c r="AD113" s="198">
        <f t="shared" ref="AD113:AD114" si="200">AA113+AB113</f>
        <v>0</v>
      </c>
      <c r="AE113" s="80">
        <f t="shared" ref="AE113:AG113" si="201">N113+Q113</f>
        <v>240000000</v>
      </c>
      <c r="AF113" s="80">
        <f t="shared" si="201"/>
        <v>0</v>
      </c>
      <c r="AG113" s="243">
        <f t="shared" si="201"/>
        <v>240000000</v>
      </c>
      <c r="AH113" s="118"/>
      <c r="AI113" s="12">
        <f>W113-Z113-AD113-AG113</f>
        <v>0</v>
      </c>
    </row>
    <row r="114" spans="1:35" ht="15.75" x14ac:dyDescent="0.25">
      <c r="A114" s="77"/>
      <c r="B114" s="141" t="s">
        <v>169</v>
      </c>
      <c r="C114" s="78" t="s">
        <v>268</v>
      </c>
      <c r="D114" s="9"/>
      <c r="E114" s="80">
        <f>200000*96</f>
        <v>19200000</v>
      </c>
      <c r="F114" s="9"/>
      <c r="G114" s="80">
        <f>200000*96</f>
        <v>19200000</v>
      </c>
      <c r="H114" s="80">
        <f t="shared" ref="H114:S114" si="202">200000*96</f>
        <v>19200000</v>
      </c>
      <c r="I114" s="80"/>
      <c r="J114" s="80">
        <f t="shared" si="202"/>
        <v>19200000</v>
      </c>
      <c r="K114" s="80">
        <f t="shared" si="202"/>
        <v>19200000</v>
      </c>
      <c r="L114" s="80"/>
      <c r="M114" s="80">
        <f t="shared" si="202"/>
        <v>19200000</v>
      </c>
      <c r="N114" s="80">
        <f t="shared" si="202"/>
        <v>19200000</v>
      </c>
      <c r="O114" s="80"/>
      <c r="P114" s="80">
        <f t="shared" si="202"/>
        <v>19200000</v>
      </c>
      <c r="Q114" s="80">
        <f t="shared" si="202"/>
        <v>19200000</v>
      </c>
      <c r="R114" s="80"/>
      <c r="S114" s="80">
        <f t="shared" si="202"/>
        <v>19200000</v>
      </c>
      <c r="T114" s="216"/>
      <c r="U114" s="186">
        <f t="shared" si="172"/>
        <v>96000000</v>
      </c>
      <c r="V114" s="186">
        <f t="shared" si="172"/>
        <v>0</v>
      </c>
      <c r="W114" s="235">
        <f t="shared" si="172"/>
        <v>96000000</v>
      </c>
      <c r="X114" s="31">
        <v>0</v>
      </c>
      <c r="Y114" s="31">
        <f t="shared" si="198"/>
        <v>0</v>
      </c>
      <c r="Z114" s="243">
        <v>0</v>
      </c>
      <c r="AA114" s="31">
        <v>96000000</v>
      </c>
      <c r="AB114" s="76"/>
      <c r="AC114" s="76"/>
      <c r="AD114" s="198">
        <f t="shared" si="200"/>
        <v>96000000</v>
      </c>
      <c r="AE114" s="76">
        <v>0</v>
      </c>
      <c r="AF114" s="80">
        <v>0</v>
      </c>
      <c r="AG114" s="243">
        <v>0</v>
      </c>
      <c r="AH114" s="118"/>
      <c r="AI114" s="12">
        <f>W114-Z114-AD114-AG114</f>
        <v>0</v>
      </c>
    </row>
    <row r="115" spans="1:35" ht="15.75" x14ac:dyDescent="0.25">
      <c r="A115" s="52"/>
      <c r="B115" s="48" t="s">
        <v>75</v>
      </c>
      <c r="C115" s="16"/>
      <c r="D115" s="17"/>
      <c r="E115" s="18">
        <f t="shared" ref="E115:T115" si="203">SUM(E103:E114)</f>
        <v>156400000</v>
      </c>
      <c r="F115" s="18">
        <f t="shared" si="203"/>
        <v>0</v>
      </c>
      <c r="G115" s="18">
        <f t="shared" si="203"/>
        <v>156400000</v>
      </c>
      <c r="H115" s="18">
        <f t="shared" si="203"/>
        <v>149200000</v>
      </c>
      <c r="I115" s="18">
        <f t="shared" si="203"/>
        <v>28800000</v>
      </c>
      <c r="J115" s="18">
        <f t="shared" si="203"/>
        <v>178000000</v>
      </c>
      <c r="K115" s="18">
        <f t="shared" si="203"/>
        <v>149200000</v>
      </c>
      <c r="L115" s="18">
        <f t="shared" si="203"/>
        <v>28800000</v>
      </c>
      <c r="M115" s="18">
        <f t="shared" si="203"/>
        <v>178000000</v>
      </c>
      <c r="N115" s="18">
        <f t="shared" si="203"/>
        <v>149200000</v>
      </c>
      <c r="O115" s="18">
        <f t="shared" si="203"/>
        <v>28800000</v>
      </c>
      <c r="P115" s="18">
        <f t="shared" si="203"/>
        <v>178000000</v>
      </c>
      <c r="Q115" s="18">
        <f t="shared" si="203"/>
        <v>149200000</v>
      </c>
      <c r="R115" s="18">
        <f t="shared" si="203"/>
        <v>28800000</v>
      </c>
      <c r="S115" s="18">
        <f t="shared" si="203"/>
        <v>178000000</v>
      </c>
      <c r="T115" s="217">
        <f t="shared" si="203"/>
        <v>0</v>
      </c>
      <c r="U115" s="30">
        <f t="shared" si="172"/>
        <v>753200000</v>
      </c>
      <c r="V115" s="30">
        <f t="shared" si="172"/>
        <v>115200000</v>
      </c>
      <c r="W115" s="215">
        <f t="shared" si="172"/>
        <v>868400000</v>
      </c>
      <c r="X115" s="18">
        <f>SUM(X104:X114)</f>
        <v>391200000</v>
      </c>
      <c r="Y115" s="18">
        <f>SUM(Y104:Y114)</f>
        <v>0</v>
      </c>
      <c r="Z115" s="255">
        <f t="shared" ref="Z115:AB115" si="204">SUM(Z103:Z114)</f>
        <v>391200000</v>
      </c>
      <c r="AA115" s="18">
        <f t="shared" si="204"/>
        <v>102000000</v>
      </c>
      <c r="AB115" s="18">
        <f t="shared" si="204"/>
        <v>0</v>
      </c>
      <c r="AC115" s="18"/>
      <c r="AD115" s="255">
        <f t="shared" ref="AD115:AG115" si="205">SUM(AD103:AD114)</f>
        <v>102000000</v>
      </c>
      <c r="AE115" s="18">
        <f t="shared" si="205"/>
        <v>260000000</v>
      </c>
      <c r="AF115" s="18">
        <f t="shared" si="205"/>
        <v>0</v>
      </c>
      <c r="AG115" s="255">
        <f t="shared" si="205"/>
        <v>260000000</v>
      </c>
      <c r="AH115" s="18"/>
      <c r="AI115" s="18">
        <f t="shared" ref="AI115" si="206">SUM(AI103:AI114)</f>
        <v>115200000</v>
      </c>
    </row>
    <row r="116" spans="1:35" ht="15.75" x14ac:dyDescent="0.25">
      <c r="A116" s="54"/>
      <c r="B116" s="47" t="s">
        <v>15</v>
      </c>
      <c r="C116" s="38"/>
      <c r="D116" s="40"/>
      <c r="E116" s="41">
        <f t="shared" ref="E116:AI116" si="207">E101+E115</f>
        <v>2352063000</v>
      </c>
      <c r="F116" s="41">
        <f t="shared" si="207"/>
        <v>0</v>
      </c>
      <c r="G116" s="41">
        <f t="shared" si="207"/>
        <v>2352063000</v>
      </c>
      <c r="H116" s="41">
        <f t="shared" si="207"/>
        <v>2662200000</v>
      </c>
      <c r="I116" s="41">
        <f t="shared" si="207"/>
        <v>28800000</v>
      </c>
      <c r="J116" s="41">
        <f t="shared" si="207"/>
        <v>2691000000</v>
      </c>
      <c r="K116" s="41">
        <f t="shared" si="207"/>
        <v>2679200000</v>
      </c>
      <c r="L116" s="41">
        <f t="shared" si="207"/>
        <v>28800000</v>
      </c>
      <c r="M116" s="41">
        <f t="shared" si="207"/>
        <v>2708000000</v>
      </c>
      <c r="N116" s="41">
        <f t="shared" si="207"/>
        <v>2679200000</v>
      </c>
      <c r="O116" s="41">
        <f t="shared" si="207"/>
        <v>28800000</v>
      </c>
      <c r="P116" s="41">
        <f t="shared" si="207"/>
        <v>2708000000</v>
      </c>
      <c r="Q116" s="41">
        <f t="shared" si="207"/>
        <v>2679200000</v>
      </c>
      <c r="R116" s="41">
        <f t="shared" si="207"/>
        <v>28800000</v>
      </c>
      <c r="S116" s="41">
        <f t="shared" si="207"/>
        <v>2708000000</v>
      </c>
      <c r="T116" s="218">
        <f t="shared" si="207"/>
        <v>0</v>
      </c>
      <c r="U116" s="92">
        <f t="shared" si="172"/>
        <v>13051863000</v>
      </c>
      <c r="V116" s="92">
        <f t="shared" si="172"/>
        <v>115200000</v>
      </c>
      <c r="W116" s="234">
        <f>G116+J116+M116+P116+S116</f>
        <v>13167063000</v>
      </c>
      <c r="X116" s="41">
        <f>X101+X115</f>
        <v>7626863000</v>
      </c>
      <c r="Y116" s="41">
        <f>Y115+Y101</f>
        <v>0</v>
      </c>
      <c r="Z116" s="189">
        <f>Z115+Z101</f>
        <v>7626863000</v>
      </c>
      <c r="AA116" s="41">
        <f>AA115+AA101</f>
        <v>105000000</v>
      </c>
      <c r="AB116" s="41">
        <f>AB115+AB101</f>
        <v>0</v>
      </c>
      <c r="AC116" s="41"/>
      <c r="AD116" s="189">
        <f t="shared" si="207"/>
        <v>105000000</v>
      </c>
      <c r="AE116" s="41">
        <f t="shared" si="207"/>
        <v>5320000000</v>
      </c>
      <c r="AF116" s="41">
        <f t="shared" si="207"/>
        <v>0</v>
      </c>
      <c r="AG116" s="189">
        <f t="shared" si="207"/>
        <v>5320000000</v>
      </c>
      <c r="AH116" s="41"/>
      <c r="AI116" s="41">
        <f t="shared" si="207"/>
        <v>115200000</v>
      </c>
    </row>
    <row r="117" spans="1:35" ht="15.75" x14ac:dyDescent="0.25">
      <c r="A117" s="55"/>
      <c r="B117" s="26" t="s">
        <v>15</v>
      </c>
      <c r="C117" s="27"/>
      <c r="D117" s="28"/>
      <c r="E117" s="29">
        <f t="shared" ref="E117:S117" si="208">E116</f>
        <v>2352063000</v>
      </c>
      <c r="F117" s="29">
        <f t="shared" si="208"/>
        <v>0</v>
      </c>
      <c r="G117" s="29">
        <f t="shared" si="208"/>
        <v>2352063000</v>
      </c>
      <c r="H117" s="29">
        <f t="shared" si="208"/>
        <v>2662200000</v>
      </c>
      <c r="I117" s="29">
        <f t="shared" si="208"/>
        <v>28800000</v>
      </c>
      <c r="J117" s="29">
        <f t="shared" si="208"/>
        <v>2691000000</v>
      </c>
      <c r="K117" s="29">
        <f t="shared" si="208"/>
        <v>2679200000</v>
      </c>
      <c r="L117" s="29">
        <f t="shared" si="208"/>
        <v>28800000</v>
      </c>
      <c r="M117" s="29">
        <f t="shared" si="208"/>
        <v>2708000000</v>
      </c>
      <c r="N117" s="29">
        <f t="shared" si="208"/>
        <v>2679200000</v>
      </c>
      <c r="O117" s="29">
        <f t="shared" si="208"/>
        <v>28800000</v>
      </c>
      <c r="P117" s="29">
        <f t="shared" si="208"/>
        <v>2708000000</v>
      </c>
      <c r="Q117" s="29">
        <f t="shared" si="208"/>
        <v>2679200000</v>
      </c>
      <c r="R117" s="29">
        <f t="shared" si="208"/>
        <v>28800000</v>
      </c>
      <c r="S117" s="29">
        <f t="shared" si="208"/>
        <v>2708000000</v>
      </c>
      <c r="T117" s="219"/>
      <c r="U117" s="266">
        <f t="shared" si="172"/>
        <v>13051863000</v>
      </c>
      <c r="V117" s="266">
        <f t="shared" si="172"/>
        <v>115200000</v>
      </c>
      <c r="W117" s="267">
        <f t="shared" si="172"/>
        <v>13167063000</v>
      </c>
      <c r="X117" s="29">
        <f>X116</f>
        <v>7626863000</v>
      </c>
      <c r="Y117" s="29">
        <f>Y116</f>
        <v>0</v>
      </c>
      <c r="Z117" s="196">
        <f t="shared" ref="Z117" si="209">Z116</f>
        <v>7626863000</v>
      </c>
      <c r="AA117" s="29">
        <f>AA115</f>
        <v>102000000</v>
      </c>
      <c r="AB117" s="29">
        <f>AB115</f>
        <v>0</v>
      </c>
      <c r="AC117" s="29">
        <f>AC116</f>
        <v>0</v>
      </c>
      <c r="AD117" s="196">
        <f t="shared" ref="AD117:AG117" si="210">AD116</f>
        <v>105000000</v>
      </c>
      <c r="AE117" s="29">
        <f t="shared" si="210"/>
        <v>5320000000</v>
      </c>
      <c r="AF117" s="29">
        <f t="shared" si="210"/>
        <v>0</v>
      </c>
      <c r="AG117" s="196">
        <f t="shared" si="210"/>
        <v>5320000000</v>
      </c>
      <c r="AH117" s="104"/>
      <c r="AI117" s="29">
        <f t="shared" ref="AI117" si="211">AI116</f>
        <v>115200000</v>
      </c>
    </row>
    <row r="118" spans="1:35" x14ac:dyDescent="0.25">
      <c r="T118" s="220"/>
      <c r="W118" s="220"/>
      <c r="AH118" s="1"/>
      <c r="AI118" s="73"/>
    </row>
    <row r="119" spans="1:35" x14ac:dyDescent="0.25">
      <c r="D119" s="155"/>
      <c r="E119" s="155"/>
      <c r="F119" s="155"/>
      <c r="AH119" s="1"/>
      <c r="AI119" s="73"/>
    </row>
    <row r="120" spans="1:35" ht="18.75" x14ac:dyDescent="0.25">
      <c r="A120" s="51"/>
      <c r="B120" s="368" t="s">
        <v>86</v>
      </c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69"/>
      <c r="N120" s="369"/>
      <c r="O120" s="369"/>
      <c r="P120" s="369"/>
      <c r="Q120" s="369"/>
      <c r="R120" s="369"/>
      <c r="S120" s="369"/>
      <c r="T120" s="369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86"/>
      <c r="AF120" s="72"/>
      <c r="AG120" s="259"/>
      <c r="AH120" s="165"/>
      <c r="AI120" s="72"/>
    </row>
    <row r="121" spans="1:35" ht="18.75" x14ac:dyDescent="0.25">
      <c r="A121" s="52"/>
      <c r="B121" s="380" t="s">
        <v>199</v>
      </c>
      <c r="C121" s="380"/>
      <c r="D121" s="380"/>
      <c r="E121" s="380"/>
      <c r="F121" s="380"/>
      <c r="G121" s="380"/>
      <c r="H121" s="380"/>
      <c r="I121" s="380"/>
      <c r="J121" s="380"/>
      <c r="K121" s="380"/>
      <c r="L121" s="380"/>
      <c r="M121" s="380"/>
      <c r="N121" s="380"/>
      <c r="O121" s="380"/>
      <c r="P121" s="380"/>
      <c r="Q121" s="380"/>
      <c r="R121" s="380"/>
      <c r="S121" s="381"/>
      <c r="T121" s="213"/>
      <c r="U121" s="17"/>
      <c r="V121" s="39"/>
      <c r="W121" s="213"/>
      <c r="X121" s="17"/>
      <c r="Y121" s="39"/>
      <c r="Z121" s="188"/>
      <c r="AA121" s="17"/>
      <c r="AB121" s="39"/>
      <c r="AC121" s="39"/>
      <c r="AD121" s="188"/>
      <c r="AE121" s="17"/>
      <c r="AF121" s="39"/>
      <c r="AG121" s="188"/>
      <c r="AH121" s="17"/>
      <c r="AI121" s="39"/>
    </row>
    <row r="122" spans="1:35" ht="31.5" x14ac:dyDescent="0.25">
      <c r="A122" s="370" t="s">
        <v>4</v>
      </c>
      <c r="B122" s="115" t="s">
        <v>200</v>
      </c>
      <c r="C122" s="49"/>
      <c r="D122" s="85"/>
      <c r="E122" s="85"/>
      <c r="F122" s="85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211"/>
      <c r="U122" s="40"/>
      <c r="V122" s="86"/>
      <c r="W122" s="234"/>
      <c r="X122" s="41"/>
      <c r="Y122" s="71"/>
      <c r="Z122" s="242"/>
      <c r="AA122" s="240"/>
      <c r="AB122" s="69"/>
      <c r="AC122" s="69"/>
      <c r="AD122" s="245"/>
      <c r="AE122" s="240"/>
      <c r="AF122" s="69"/>
      <c r="AG122" s="242"/>
      <c r="AH122" s="240"/>
      <c r="AI122" s="69"/>
    </row>
    <row r="123" spans="1:35" ht="78.75" x14ac:dyDescent="0.25">
      <c r="A123" s="370"/>
      <c r="B123" s="114" t="s">
        <v>77</v>
      </c>
      <c r="C123" s="38" t="s">
        <v>257</v>
      </c>
      <c r="D123" s="31">
        <v>50000000</v>
      </c>
      <c r="E123" s="76"/>
      <c r="F123" s="31"/>
      <c r="G123" s="76"/>
      <c r="H123" s="31">
        <v>10000000</v>
      </c>
      <c r="I123" s="76"/>
      <c r="J123" s="31">
        <v>10000000</v>
      </c>
      <c r="K123" s="31">
        <v>25000000</v>
      </c>
      <c r="L123" s="31"/>
      <c r="M123" s="31">
        <v>25000000</v>
      </c>
      <c r="N123" s="31">
        <v>15000000</v>
      </c>
      <c r="O123" s="31"/>
      <c r="P123" s="31">
        <v>15000000</v>
      </c>
      <c r="Q123" s="35"/>
      <c r="R123" s="31"/>
      <c r="S123" s="35"/>
      <c r="T123" s="212"/>
      <c r="U123" s="186">
        <f t="shared" ref="U123:W125" si="212">E123+H123+K123+N123+Q123</f>
        <v>50000000</v>
      </c>
      <c r="V123" s="186">
        <f t="shared" si="212"/>
        <v>0</v>
      </c>
      <c r="W123" s="235">
        <f t="shared" si="212"/>
        <v>50000000</v>
      </c>
      <c r="X123" s="31">
        <f t="shared" ref="X123:Y125" si="213">E123+H123+K123-AA123</f>
        <v>35000000</v>
      </c>
      <c r="Y123" s="31">
        <f t="shared" si="213"/>
        <v>0</v>
      </c>
      <c r="Z123" s="243">
        <f t="shared" ref="Z123:Z125" si="214">G123+J123+M123-AD123</f>
        <v>35000000</v>
      </c>
      <c r="AA123" s="262">
        <v>0</v>
      </c>
      <c r="AB123" s="144"/>
      <c r="AC123" s="144"/>
      <c r="AD123" s="246">
        <v>0</v>
      </c>
      <c r="AE123" s="80">
        <f t="shared" ref="AE123:AG125" si="215">N123+Q123</f>
        <v>15000000</v>
      </c>
      <c r="AF123" s="80">
        <f t="shared" si="215"/>
        <v>0</v>
      </c>
      <c r="AG123" s="243">
        <f t="shared" si="215"/>
        <v>15000000</v>
      </c>
      <c r="AH123" s="80"/>
      <c r="AI123" s="12">
        <f t="shared" ref="AI123:AI125" si="216">W123-Z123-AD123-AG123</f>
        <v>0</v>
      </c>
    </row>
    <row r="124" spans="1:35" ht="15.75" x14ac:dyDescent="0.25">
      <c r="A124" s="370"/>
      <c r="B124" s="141" t="s">
        <v>78</v>
      </c>
      <c r="C124" s="38" t="s">
        <v>257</v>
      </c>
      <c r="D124" s="4"/>
      <c r="E124" s="35"/>
      <c r="F124" s="4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212"/>
      <c r="U124" s="186">
        <f t="shared" si="212"/>
        <v>0</v>
      </c>
      <c r="V124" s="186">
        <f t="shared" si="212"/>
        <v>0</v>
      </c>
      <c r="W124" s="235">
        <f t="shared" si="212"/>
        <v>0</v>
      </c>
      <c r="X124" s="31">
        <f t="shared" si="213"/>
        <v>0</v>
      </c>
      <c r="Y124" s="31">
        <f t="shared" si="213"/>
        <v>0</v>
      </c>
      <c r="Z124" s="243">
        <f t="shared" si="214"/>
        <v>0</v>
      </c>
      <c r="AA124" s="80"/>
      <c r="AB124" s="12"/>
      <c r="AC124" s="12"/>
      <c r="AD124" s="246">
        <f>W124/2</f>
        <v>0</v>
      </c>
      <c r="AE124" s="80">
        <f t="shared" si="215"/>
        <v>0</v>
      </c>
      <c r="AF124" s="80">
        <f t="shared" si="215"/>
        <v>0</v>
      </c>
      <c r="AG124" s="243">
        <f t="shared" si="215"/>
        <v>0</v>
      </c>
      <c r="AH124" s="80"/>
      <c r="AI124" s="12">
        <f t="shared" si="216"/>
        <v>0</v>
      </c>
    </row>
    <row r="125" spans="1:35" ht="31.5" x14ac:dyDescent="0.25">
      <c r="A125" s="370"/>
      <c r="B125" s="114" t="s">
        <v>79</v>
      </c>
      <c r="C125" s="38" t="s">
        <v>258</v>
      </c>
      <c r="D125" s="9">
        <f>0.66*2643</f>
        <v>1744.38</v>
      </c>
      <c r="E125" s="31">
        <f>$D125*10000</f>
        <v>17443800</v>
      </c>
      <c r="F125" s="9"/>
      <c r="G125" s="31">
        <f>$D125*10000</f>
        <v>17443800</v>
      </c>
      <c r="H125" s="31">
        <f>$D125*15000</f>
        <v>26165700</v>
      </c>
      <c r="I125" s="31"/>
      <c r="J125" s="31">
        <f>$D125*15000</f>
        <v>26165700</v>
      </c>
      <c r="K125" s="31">
        <f t="shared" ref="K125:S125" si="217">$D125*15000</f>
        <v>26165700</v>
      </c>
      <c r="L125" s="31"/>
      <c r="M125" s="31">
        <f t="shared" si="217"/>
        <v>26165700</v>
      </c>
      <c r="N125" s="31">
        <f t="shared" si="217"/>
        <v>26165700</v>
      </c>
      <c r="O125" s="31"/>
      <c r="P125" s="31">
        <f t="shared" si="217"/>
        <v>26165700</v>
      </c>
      <c r="Q125" s="31">
        <f t="shared" si="217"/>
        <v>26165700</v>
      </c>
      <c r="R125" s="31"/>
      <c r="S125" s="31">
        <f t="shared" si="217"/>
        <v>26165700</v>
      </c>
      <c r="T125" s="212"/>
      <c r="U125" s="186">
        <f t="shared" si="212"/>
        <v>122106600</v>
      </c>
      <c r="V125" s="186">
        <f t="shared" si="212"/>
        <v>0</v>
      </c>
      <c r="W125" s="235">
        <f t="shared" si="212"/>
        <v>122106600</v>
      </c>
      <c r="X125" s="31">
        <f t="shared" si="213"/>
        <v>69775200</v>
      </c>
      <c r="Y125" s="31">
        <f t="shared" si="213"/>
        <v>0</v>
      </c>
      <c r="Z125" s="243">
        <f t="shared" si="214"/>
        <v>69775200</v>
      </c>
      <c r="AA125" s="23"/>
      <c r="AB125" s="23"/>
      <c r="AC125" s="23"/>
      <c r="AD125" s="243"/>
      <c r="AE125" s="80">
        <f t="shared" si="215"/>
        <v>52331400</v>
      </c>
      <c r="AF125" s="80">
        <f t="shared" si="215"/>
        <v>0</v>
      </c>
      <c r="AG125" s="243">
        <f t="shared" si="215"/>
        <v>52331400</v>
      </c>
      <c r="AH125" s="80"/>
      <c r="AI125" s="12">
        <f t="shared" si="216"/>
        <v>0</v>
      </c>
    </row>
    <row r="126" spans="1:35" ht="63" x14ac:dyDescent="0.25">
      <c r="A126" s="370"/>
      <c r="B126" s="115" t="s">
        <v>201</v>
      </c>
      <c r="C126" s="49"/>
      <c r="D126" s="99"/>
      <c r="E126" s="69"/>
      <c r="F126" s="99"/>
      <c r="G126" s="69"/>
      <c r="H126" s="70"/>
      <c r="I126" s="69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223"/>
      <c r="U126" s="221"/>
      <c r="V126" s="88"/>
      <c r="W126" s="234"/>
      <c r="X126" s="41"/>
      <c r="Y126" s="71"/>
      <c r="Z126" s="242"/>
      <c r="AA126" s="240"/>
      <c r="AB126" s="69"/>
      <c r="AC126" s="69"/>
      <c r="AD126" s="242"/>
      <c r="AE126" s="240"/>
      <c r="AF126" s="69"/>
      <c r="AG126" s="242"/>
      <c r="AH126" s="240"/>
      <c r="AI126" s="69"/>
    </row>
    <row r="127" spans="1:35" ht="31.5" x14ac:dyDescent="0.25">
      <c r="A127" s="370"/>
      <c r="B127" s="114" t="s">
        <v>80</v>
      </c>
      <c r="C127" s="38" t="s">
        <v>257</v>
      </c>
      <c r="D127" s="9" t="s">
        <v>157</v>
      </c>
      <c r="E127" s="31">
        <f>220000*1.1*2124</f>
        <v>514008000.00000006</v>
      </c>
      <c r="F127" s="9"/>
      <c r="G127" s="31">
        <f>220000*1.1*2124</f>
        <v>514008000.00000006</v>
      </c>
      <c r="H127" s="31">
        <f>220000*1.2*2124</f>
        <v>560736000</v>
      </c>
      <c r="I127" s="31"/>
      <c r="J127" s="31">
        <f>220000*1.2*2124</f>
        <v>560736000</v>
      </c>
      <c r="K127" s="31">
        <f>220000*1.3*2124</f>
        <v>607464000</v>
      </c>
      <c r="L127" s="31"/>
      <c r="M127" s="31">
        <f>220000*1.3*2124</f>
        <v>607464000</v>
      </c>
      <c r="N127" s="31">
        <f>286000*1.1*2124</f>
        <v>668210400</v>
      </c>
      <c r="O127" s="31"/>
      <c r="P127" s="31">
        <f>286000*1.1*2124</f>
        <v>668210400</v>
      </c>
      <c r="Q127" s="31">
        <f>N127</f>
        <v>668210400</v>
      </c>
      <c r="R127" s="31"/>
      <c r="S127" s="31">
        <f>P127</f>
        <v>668210400</v>
      </c>
      <c r="T127" s="224"/>
      <c r="U127" s="186">
        <f t="shared" ref="U127:W133" si="218">E127+H127+K127+N127+Q127</f>
        <v>3018628800</v>
      </c>
      <c r="V127" s="186">
        <f t="shared" si="218"/>
        <v>0</v>
      </c>
      <c r="W127" s="235">
        <f t="shared" si="218"/>
        <v>3018628800</v>
      </c>
      <c r="X127" s="31">
        <f t="shared" ref="X127:Y132" si="219">E127+H127+K127-AA127</f>
        <v>1682208000</v>
      </c>
      <c r="Y127" s="31">
        <f t="shared" si="219"/>
        <v>0</v>
      </c>
      <c r="Z127" s="243">
        <f t="shared" ref="Z127:Z131" si="220">G127+J127+M127-AD127</f>
        <v>1682208000</v>
      </c>
      <c r="AA127" s="76"/>
      <c r="AB127" s="76"/>
      <c r="AC127" s="76"/>
      <c r="AD127" s="198"/>
      <c r="AE127" s="80">
        <f t="shared" ref="AE127:AG132" si="221">N127+Q127</f>
        <v>1336420800</v>
      </c>
      <c r="AF127" s="80">
        <f t="shared" si="221"/>
        <v>0</v>
      </c>
      <c r="AG127" s="243">
        <f t="shared" si="221"/>
        <v>1336420800</v>
      </c>
      <c r="AH127" s="80"/>
      <c r="AI127" s="12">
        <f t="shared" ref="AI127:AI132" si="222">W127-Z127-AD127-AG127</f>
        <v>0</v>
      </c>
    </row>
    <row r="128" spans="1:35" ht="31.5" x14ac:dyDescent="0.25">
      <c r="A128" s="370"/>
      <c r="B128" s="114" t="s">
        <v>81</v>
      </c>
      <c r="C128" s="38" t="s">
        <v>257</v>
      </c>
      <c r="D128" s="4"/>
      <c r="E128" s="12"/>
      <c r="F128" s="4"/>
      <c r="G128" s="12"/>
      <c r="H128" s="12"/>
      <c r="I128" s="12"/>
      <c r="J128" s="12"/>
      <c r="K128" s="35"/>
      <c r="L128" s="12"/>
      <c r="M128" s="35"/>
      <c r="N128" s="35"/>
      <c r="O128" s="35"/>
      <c r="P128" s="35"/>
      <c r="Q128" s="35"/>
      <c r="R128" s="35"/>
      <c r="S128" s="35"/>
      <c r="T128" s="225"/>
      <c r="U128" s="186">
        <f t="shared" si="218"/>
        <v>0</v>
      </c>
      <c r="V128" s="186">
        <f t="shared" si="218"/>
        <v>0</v>
      </c>
      <c r="W128" s="235">
        <f t="shared" si="218"/>
        <v>0</v>
      </c>
      <c r="X128" s="31">
        <f t="shared" si="219"/>
        <v>0</v>
      </c>
      <c r="Y128" s="31">
        <f t="shared" si="219"/>
        <v>0</v>
      </c>
      <c r="Z128" s="243">
        <f t="shared" si="220"/>
        <v>0</v>
      </c>
      <c r="AA128" s="80"/>
      <c r="AB128" s="12"/>
      <c r="AC128" s="12"/>
      <c r="AD128" s="270">
        <f>W128</f>
        <v>0</v>
      </c>
      <c r="AE128" s="80">
        <f t="shared" si="221"/>
        <v>0</v>
      </c>
      <c r="AF128" s="80">
        <f t="shared" si="221"/>
        <v>0</v>
      </c>
      <c r="AG128" s="243">
        <f t="shared" si="221"/>
        <v>0</v>
      </c>
      <c r="AH128" s="80"/>
      <c r="AI128" s="12">
        <f t="shared" si="222"/>
        <v>0</v>
      </c>
    </row>
    <row r="129" spans="1:35" ht="31.5" x14ac:dyDescent="0.25">
      <c r="A129" s="370"/>
      <c r="B129" s="141" t="s">
        <v>82</v>
      </c>
      <c r="C129" s="38" t="s">
        <v>257</v>
      </c>
      <c r="D129" s="4"/>
      <c r="E129" s="12"/>
      <c r="F129" s="4"/>
      <c r="G129" s="12"/>
      <c r="H129" s="12"/>
      <c r="I129" s="12"/>
      <c r="J129" s="12"/>
      <c r="K129" s="35"/>
      <c r="L129" s="12"/>
      <c r="M129" s="35"/>
      <c r="N129" s="35"/>
      <c r="O129" s="35"/>
      <c r="P129" s="35"/>
      <c r="Q129" s="35"/>
      <c r="R129" s="35"/>
      <c r="S129" s="35"/>
      <c r="T129" s="225"/>
      <c r="U129" s="186">
        <f t="shared" si="218"/>
        <v>0</v>
      </c>
      <c r="V129" s="186">
        <f t="shared" si="218"/>
        <v>0</v>
      </c>
      <c r="W129" s="235">
        <f t="shared" si="218"/>
        <v>0</v>
      </c>
      <c r="X129" s="31">
        <f t="shared" si="219"/>
        <v>0</v>
      </c>
      <c r="Y129" s="31">
        <f t="shared" si="219"/>
        <v>0</v>
      </c>
      <c r="Z129" s="243">
        <f t="shared" si="220"/>
        <v>0</v>
      </c>
      <c r="AA129" s="80"/>
      <c r="AB129" s="12"/>
      <c r="AC129" s="12"/>
      <c r="AD129" s="246"/>
      <c r="AE129" s="80">
        <f t="shared" si="221"/>
        <v>0</v>
      </c>
      <c r="AF129" s="80">
        <f t="shared" si="221"/>
        <v>0</v>
      </c>
      <c r="AG129" s="243">
        <f t="shared" si="221"/>
        <v>0</v>
      </c>
      <c r="AH129" s="80"/>
      <c r="AI129" s="12">
        <f t="shared" si="222"/>
        <v>0</v>
      </c>
    </row>
    <row r="130" spans="1:35" ht="31.5" x14ac:dyDescent="0.25">
      <c r="A130" s="370"/>
      <c r="B130" s="114" t="s">
        <v>83</v>
      </c>
      <c r="C130" s="38" t="s">
        <v>257</v>
      </c>
      <c r="D130" s="31">
        <v>2101500</v>
      </c>
      <c r="E130" s="12">
        <v>0</v>
      </c>
      <c r="F130" s="31">
        <v>105075000</v>
      </c>
      <c r="G130" s="12">
        <f>$D130*50</f>
        <v>105075000</v>
      </c>
      <c r="H130" s="12"/>
      <c r="I130" s="12">
        <f t="shared" ref="I130:S130" si="223">$D130*50</f>
        <v>105075000</v>
      </c>
      <c r="J130" s="12">
        <f t="shared" si="223"/>
        <v>105075000</v>
      </c>
      <c r="K130" s="12"/>
      <c r="L130" s="12">
        <f t="shared" si="223"/>
        <v>105075000</v>
      </c>
      <c r="M130" s="12">
        <f t="shared" si="223"/>
        <v>105075000</v>
      </c>
      <c r="N130" s="12"/>
      <c r="O130" s="12">
        <f t="shared" si="223"/>
        <v>105075000</v>
      </c>
      <c r="P130" s="12">
        <f t="shared" si="223"/>
        <v>105075000</v>
      </c>
      <c r="Q130" s="12"/>
      <c r="R130" s="12">
        <f t="shared" si="223"/>
        <v>105075000</v>
      </c>
      <c r="S130" s="12">
        <f t="shared" si="223"/>
        <v>105075000</v>
      </c>
      <c r="T130" s="225"/>
      <c r="U130" s="186">
        <f t="shared" si="218"/>
        <v>0</v>
      </c>
      <c r="V130" s="186">
        <f t="shared" si="218"/>
        <v>525375000</v>
      </c>
      <c r="W130" s="235">
        <f t="shared" si="218"/>
        <v>525375000</v>
      </c>
      <c r="X130" s="31">
        <f t="shared" si="219"/>
        <v>0</v>
      </c>
      <c r="Y130" s="31">
        <v>0</v>
      </c>
      <c r="Z130" s="243">
        <v>0</v>
      </c>
      <c r="AA130" s="80"/>
      <c r="AB130" s="12">
        <v>210150000</v>
      </c>
      <c r="AC130" s="12"/>
      <c r="AD130" s="270">
        <v>210150000</v>
      </c>
      <c r="AE130" s="80">
        <f t="shared" si="221"/>
        <v>0</v>
      </c>
      <c r="AF130" s="80">
        <v>157612500</v>
      </c>
      <c r="AG130" s="243">
        <v>157612500</v>
      </c>
      <c r="AH130" s="80"/>
      <c r="AI130" s="12">
        <f t="shared" si="222"/>
        <v>157612500</v>
      </c>
    </row>
    <row r="131" spans="1:35" ht="31.5" x14ac:dyDescent="0.25">
      <c r="A131" s="370"/>
      <c r="B131" s="114" t="s">
        <v>84</v>
      </c>
      <c r="C131" s="38" t="s">
        <v>257</v>
      </c>
      <c r="D131" s="4"/>
      <c r="E131" s="12"/>
      <c r="F131" s="4"/>
      <c r="G131" s="12"/>
      <c r="H131" s="12"/>
      <c r="I131" s="12"/>
      <c r="J131" s="12"/>
      <c r="K131" s="35"/>
      <c r="L131" s="12"/>
      <c r="M131" s="35"/>
      <c r="N131" s="35"/>
      <c r="O131" s="35"/>
      <c r="P131" s="35"/>
      <c r="Q131" s="35"/>
      <c r="R131" s="35"/>
      <c r="S131" s="35"/>
      <c r="T131" s="225"/>
      <c r="U131" s="186">
        <f t="shared" si="218"/>
        <v>0</v>
      </c>
      <c r="V131" s="186">
        <f t="shared" si="218"/>
        <v>0</v>
      </c>
      <c r="W131" s="235">
        <f t="shared" si="218"/>
        <v>0</v>
      </c>
      <c r="X131" s="31">
        <f t="shared" si="219"/>
        <v>0</v>
      </c>
      <c r="Y131" s="31">
        <f t="shared" si="219"/>
        <v>0</v>
      </c>
      <c r="Z131" s="243">
        <f t="shared" si="220"/>
        <v>0</v>
      </c>
      <c r="AA131" s="80"/>
      <c r="AB131" s="12"/>
      <c r="AC131" s="12"/>
      <c r="AD131" s="246"/>
      <c r="AE131" s="80">
        <f t="shared" si="221"/>
        <v>0</v>
      </c>
      <c r="AF131" s="80">
        <f t="shared" si="221"/>
        <v>0</v>
      </c>
      <c r="AG131" s="243">
        <f t="shared" si="221"/>
        <v>0</v>
      </c>
      <c r="AH131" s="80"/>
      <c r="AI131" s="12">
        <f t="shared" si="222"/>
        <v>0</v>
      </c>
    </row>
    <row r="132" spans="1:35" ht="31.5" x14ac:dyDescent="0.25">
      <c r="A132" s="370"/>
      <c r="B132" s="114" t="s">
        <v>85</v>
      </c>
      <c r="C132" s="38" t="s">
        <v>257</v>
      </c>
      <c r="D132" s="31">
        <v>4653550</v>
      </c>
      <c r="E132" s="12">
        <f>$D132*170</f>
        <v>791103500</v>
      </c>
      <c r="F132" s="31"/>
      <c r="G132" s="12">
        <f>$D132*170</f>
        <v>791103500</v>
      </c>
      <c r="H132" s="12">
        <f>$D132*170</f>
        <v>791103500</v>
      </c>
      <c r="I132" s="12"/>
      <c r="J132" s="12">
        <f>$D132*170</f>
        <v>791103500</v>
      </c>
      <c r="K132" s="12">
        <f>$D132*200</f>
        <v>930710000</v>
      </c>
      <c r="L132" s="12"/>
      <c r="M132" s="12">
        <f>$D132*200</f>
        <v>930710000</v>
      </c>
      <c r="N132" s="12">
        <f>$D132*200</f>
        <v>930710000</v>
      </c>
      <c r="O132" s="12"/>
      <c r="P132" s="12">
        <f>$D132*200</f>
        <v>930710000</v>
      </c>
      <c r="Q132" s="12">
        <f>$D132*230</f>
        <v>1070316500</v>
      </c>
      <c r="R132" s="12"/>
      <c r="S132" s="12">
        <f>$D132*230</f>
        <v>1070316500</v>
      </c>
      <c r="T132" s="225"/>
      <c r="U132" s="186">
        <f t="shared" si="218"/>
        <v>4513943500</v>
      </c>
      <c r="V132" s="186">
        <f t="shared" si="218"/>
        <v>0</v>
      </c>
      <c r="W132" s="235">
        <f t="shared" si="218"/>
        <v>4513943500</v>
      </c>
      <c r="X132" s="31">
        <f>K132/2</f>
        <v>465355000</v>
      </c>
      <c r="Y132" s="31">
        <f t="shared" si="219"/>
        <v>0</v>
      </c>
      <c r="Z132" s="243">
        <f>X132</f>
        <v>465355000</v>
      </c>
      <c r="AA132" s="31">
        <f>AD132</f>
        <v>1582207000</v>
      </c>
      <c r="AB132" s="21"/>
      <c r="AC132" s="21"/>
      <c r="AD132" s="270">
        <v>1582207000</v>
      </c>
      <c r="AE132" s="80">
        <f>(N132+Q132)/2</f>
        <v>1000513250</v>
      </c>
      <c r="AF132" s="80">
        <f t="shared" si="221"/>
        <v>0</v>
      </c>
      <c r="AG132" s="243">
        <f>(P132+S132)/2</f>
        <v>1000513250</v>
      </c>
      <c r="AH132" s="80"/>
      <c r="AI132" s="12">
        <f t="shared" si="222"/>
        <v>1465868250</v>
      </c>
    </row>
    <row r="133" spans="1:35" ht="15.75" x14ac:dyDescent="0.25">
      <c r="A133" s="77"/>
      <c r="B133" s="107" t="s">
        <v>16</v>
      </c>
      <c r="C133" s="108"/>
      <c r="D133" s="82"/>
      <c r="E133" s="100">
        <f t="shared" ref="E133:S133" si="224">SUM(E122:E132)</f>
        <v>1322555300</v>
      </c>
      <c r="F133" s="100">
        <f t="shared" si="224"/>
        <v>105075000</v>
      </c>
      <c r="G133" s="100">
        <f t="shared" si="224"/>
        <v>1427630300</v>
      </c>
      <c r="H133" s="100">
        <f t="shared" si="224"/>
        <v>1388005200</v>
      </c>
      <c r="I133" s="100">
        <f t="shared" si="224"/>
        <v>105075000</v>
      </c>
      <c r="J133" s="100">
        <f t="shared" si="224"/>
        <v>1493080200</v>
      </c>
      <c r="K133" s="100">
        <f t="shared" si="224"/>
        <v>1589339700</v>
      </c>
      <c r="L133" s="100">
        <f t="shared" si="224"/>
        <v>105075000</v>
      </c>
      <c r="M133" s="100">
        <f t="shared" si="224"/>
        <v>1694414700</v>
      </c>
      <c r="N133" s="100">
        <f t="shared" si="224"/>
        <v>1640086100</v>
      </c>
      <c r="O133" s="100">
        <f t="shared" si="224"/>
        <v>105075000</v>
      </c>
      <c r="P133" s="100">
        <f t="shared" si="224"/>
        <v>1745161100</v>
      </c>
      <c r="Q133" s="100">
        <f t="shared" si="224"/>
        <v>1764692600</v>
      </c>
      <c r="R133" s="100">
        <f t="shared" si="224"/>
        <v>105075000</v>
      </c>
      <c r="S133" s="100">
        <f t="shared" si="224"/>
        <v>1869767600</v>
      </c>
      <c r="T133" s="226"/>
      <c r="U133" s="268">
        <f t="shared" si="218"/>
        <v>7704678900</v>
      </c>
      <c r="V133" s="268">
        <f t="shared" si="218"/>
        <v>525375000</v>
      </c>
      <c r="W133" s="269">
        <f t="shared" si="218"/>
        <v>8230053900</v>
      </c>
      <c r="X133" s="222">
        <f>SUM(X123:X132)</f>
        <v>2252338200</v>
      </c>
      <c r="Y133" s="100">
        <f>SUM(Y123:Y132)</f>
        <v>0</v>
      </c>
      <c r="Z133" s="260">
        <f t="shared" ref="Z133:AG133" si="225">SUM(Z122:Z132)</f>
        <v>2252338200</v>
      </c>
      <c r="AA133" s="222">
        <f t="shared" si="225"/>
        <v>1582207000</v>
      </c>
      <c r="AB133" s="100">
        <f t="shared" si="225"/>
        <v>210150000</v>
      </c>
      <c r="AC133" s="100">
        <f t="shared" si="225"/>
        <v>0</v>
      </c>
      <c r="AD133" s="260">
        <f t="shared" si="225"/>
        <v>1792357000</v>
      </c>
      <c r="AE133" s="222">
        <f t="shared" si="225"/>
        <v>2404265450</v>
      </c>
      <c r="AF133" s="100">
        <f t="shared" si="225"/>
        <v>157612500</v>
      </c>
      <c r="AG133" s="260">
        <f t="shared" si="225"/>
        <v>2561877950</v>
      </c>
      <c r="AH133" s="222"/>
      <c r="AI133" s="100">
        <f>SUM(AI122:AI132)</f>
        <v>1623480750</v>
      </c>
    </row>
    <row r="134" spans="1:35" ht="18.75" x14ac:dyDescent="0.25">
      <c r="A134" s="52"/>
      <c r="B134" s="380" t="s">
        <v>202</v>
      </c>
      <c r="C134" s="380"/>
      <c r="D134" s="380"/>
      <c r="E134" s="380"/>
      <c r="F134" s="380"/>
      <c r="G134" s="380"/>
      <c r="H134" s="380"/>
      <c r="I134" s="380"/>
      <c r="J134" s="380"/>
      <c r="K134" s="380"/>
      <c r="L134" s="380"/>
      <c r="M134" s="380"/>
      <c r="N134" s="380"/>
      <c r="O134" s="380"/>
      <c r="P134" s="380"/>
      <c r="Q134" s="380"/>
      <c r="R134" s="380"/>
      <c r="S134" s="381"/>
      <c r="T134" s="213"/>
      <c r="U134" s="17"/>
      <c r="V134" s="39"/>
      <c r="W134" s="213"/>
      <c r="X134" s="17"/>
      <c r="Y134" s="39"/>
      <c r="Z134" s="188"/>
      <c r="AA134" s="17"/>
      <c r="AB134" s="39"/>
      <c r="AC134" s="39"/>
      <c r="AD134" s="188"/>
      <c r="AE134" s="17"/>
      <c r="AF134" s="39"/>
      <c r="AG134" s="188"/>
      <c r="AH134" s="17"/>
      <c r="AI134" s="39"/>
    </row>
    <row r="135" spans="1:35" ht="63" x14ac:dyDescent="0.25">
      <c r="A135" s="127"/>
      <c r="B135" s="115" t="s">
        <v>203</v>
      </c>
      <c r="C135" s="49"/>
      <c r="D135" s="99"/>
      <c r="E135" s="99"/>
      <c r="F135" s="99"/>
      <c r="G135" s="70"/>
      <c r="H135" s="70"/>
      <c r="I135" s="70"/>
      <c r="J135" s="70"/>
      <c r="K135" s="70"/>
      <c r="L135" s="70"/>
      <c r="M135" s="69"/>
      <c r="N135" s="69"/>
      <c r="O135" s="69"/>
      <c r="P135" s="69"/>
      <c r="Q135" s="69"/>
      <c r="R135" s="69"/>
      <c r="S135" s="69"/>
      <c r="T135" s="211"/>
      <c r="U135" s="40"/>
      <c r="V135" s="86"/>
      <c r="W135" s="234"/>
      <c r="X135" s="41"/>
      <c r="Y135" s="71"/>
      <c r="Z135" s="242"/>
      <c r="AA135" s="240"/>
      <c r="AB135" s="69"/>
      <c r="AC135" s="69"/>
      <c r="AD135" s="245"/>
      <c r="AE135" s="240"/>
      <c r="AF135" s="69"/>
      <c r="AG135" s="242"/>
      <c r="AH135" s="240"/>
      <c r="AI135" s="69"/>
    </row>
    <row r="136" spans="1:35" ht="63" x14ac:dyDescent="0.25">
      <c r="A136" s="127"/>
      <c r="B136" s="114" t="s">
        <v>87</v>
      </c>
      <c r="C136" s="49" t="s">
        <v>257</v>
      </c>
      <c r="D136" s="128"/>
      <c r="E136" s="128"/>
      <c r="F136" s="128"/>
      <c r="G136" s="129"/>
      <c r="H136" s="129">
        <v>2000000</v>
      </c>
      <c r="I136" s="129"/>
      <c r="J136" s="129">
        <f>40*50000</f>
        <v>2000000</v>
      </c>
      <c r="K136" s="129"/>
      <c r="L136" s="129"/>
      <c r="M136" s="129"/>
      <c r="N136" s="129"/>
      <c r="O136" s="129"/>
      <c r="P136" s="129"/>
      <c r="Q136" s="129"/>
      <c r="R136" s="129"/>
      <c r="S136" s="129"/>
      <c r="T136" s="227"/>
      <c r="U136" s="186">
        <f t="shared" ref="U136:W138" si="226">E136+H136+K136+N136+Q136</f>
        <v>2000000</v>
      </c>
      <c r="V136" s="186">
        <f t="shared" si="226"/>
        <v>0</v>
      </c>
      <c r="W136" s="235">
        <f t="shared" si="226"/>
        <v>2000000</v>
      </c>
      <c r="X136" s="31">
        <v>0</v>
      </c>
      <c r="Y136" s="31">
        <f t="shared" ref="Y136:Y138" si="227">F136+I136+L136-AB136</f>
        <v>0</v>
      </c>
      <c r="Z136" s="243">
        <v>0</v>
      </c>
      <c r="AA136" s="129"/>
      <c r="AB136" s="129"/>
      <c r="AC136" s="129"/>
      <c r="AD136" s="261"/>
      <c r="AE136" s="80">
        <f t="shared" ref="AE136:AG138" si="228">N136+Q136</f>
        <v>0</v>
      </c>
      <c r="AF136" s="80">
        <f t="shared" si="228"/>
        <v>0</v>
      </c>
      <c r="AG136" s="243">
        <f t="shared" si="228"/>
        <v>0</v>
      </c>
      <c r="AH136" s="129"/>
      <c r="AI136" s="12">
        <f t="shared" ref="AI136:AI138" si="229">W136-Z136-AD136-AG136</f>
        <v>2000000</v>
      </c>
    </row>
    <row r="137" spans="1:35" ht="47.25" x14ac:dyDescent="0.25">
      <c r="A137" s="127"/>
      <c r="B137" s="114" t="s">
        <v>88</v>
      </c>
      <c r="C137" s="49" t="s">
        <v>257</v>
      </c>
      <c r="D137" s="128"/>
      <c r="E137" s="128"/>
      <c r="F137" s="128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227"/>
      <c r="U137" s="186">
        <f t="shared" si="226"/>
        <v>0</v>
      </c>
      <c r="V137" s="186">
        <f t="shared" si="226"/>
        <v>0</v>
      </c>
      <c r="W137" s="235">
        <f t="shared" si="226"/>
        <v>0</v>
      </c>
      <c r="X137" s="31">
        <f t="shared" ref="X137:X138" si="230">E137+H137+K137-AA137</f>
        <v>0</v>
      </c>
      <c r="Y137" s="31">
        <f t="shared" si="227"/>
        <v>0</v>
      </c>
      <c r="Z137" s="243">
        <f t="shared" ref="Z137:Z138" si="231">G137+J137+M137-AD137</f>
        <v>0</v>
      </c>
      <c r="AA137" s="129"/>
      <c r="AB137" s="129"/>
      <c r="AC137" s="129"/>
      <c r="AD137" s="261"/>
      <c r="AE137" s="80">
        <f t="shared" si="228"/>
        <v>0</v>
      </c>
      <c r="AF137" s="80">
        <f t="shared" si="228"/>
        <v>0</v>
      </c>
      <c r="AG137" s="243">
        <f t="shared" si="228"/>
        <v>0</v>
      </c>
      <c r="AH137" s="129"/>
      <c r="AI137" s="12">
        <f t="shared" si="229"/>
        <v>0</v>
      </c>
    </row>
    <row r="138" spans="1:35" ht="31.5" x14ac:dyDescent="0.25">
      <c r="A138" s="127"/>
      <c r="B138" s="114" t="s">
        <v>89</v>
      </c>
      <c r="C138" s="49" t="s">
        <v>257</v>
      </c>
      <c r="D138" s="128"/>
      <c r="E138" s="128"/>
      <c r="F138" s="128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227"/>
      <c r="U138" s="186">
        <f t="shared" si="226"/>
        <v>0</v>
      </c>
      <c r="V138" s="186">
        <f t="shared" si="226"/>
        <v>0</v>
      </c>
      <c r="W138" s="235">
        <f t="shared" si="226"/>
        <v>0</v>
      </c>
      <c r="X138" s="31">
        <f t="shared" si="230"/>
        <v>0</v>
      </c>
      <c r="Y138" s="31">
        <f t="shared" si="227"/>
        <v>0</v>
      </c>
      <c r="Z138" s="243">
        <f t="shared" si="231"/>
        <v>0</v>
      </c>
      <c r="AA138" s="129"/>
      <c r="AB138" s="129"/>
      <c r="AC138" s="129"/>
      <c r="AD138" s="261"/>
      <c r="AE138" s="80">
        <f t="shared" si="228"/>
        <v>0</v>
      </c>
      <c r="AF138" s="80">
        <f t="shared" si="228"/>
        <v>0</v>
      </c>
      <c r="AG138" s="243">
        <f t="shared" si="228"/>
        <v>0</v>
      </c>
      <c r="AH138" s="129"/>
      <c r="AI138" s="12">
        <f t="shared" si="229"/>
        <v>0</v>
      </c>
    </row>
    <row r="139" spans="1:35" ht="63" x14ac:dyDescent="0.25">
      <c r="A139" s="127"/>
      <c r="B139" s="115" t="s">
        <v>204</v>
      </c>
      <c r="C139" s="49"/>
      <c r="D139" s="99"/>
      <c r="E139" s="99"/>
      <c r="F139" s="99"/>
      <c r="G139" s="70"/>
      <c r="H139" s="70"/>
      <c r="I139" s="70"/>
      <c r="J139" s="70"/>
      <c r="K139" s="70"/>
      <c r="L139" s="70"/>
      <c r="M139" s="69"/>
      <c r="N139" s="69"/>
      <c r="O139" s="69"/>
      <c r="P139" s="69"/>
      <c r="Q139" s="69"/>
      <c r="R139" s="69"/>
      <c r="S139" s="69"/>
      <c r="T139" s="211"/>
      <c r="U139" s="40"/>
      <c r="V139" s="86"/>
      <c r="W139" s="234"/>
      <c r="X139" s="41"/>
      <c r="Y139" s="71"/>
      <c r="Z139" s="242"/>
      <c r="AA139" s="240"/>
      <c r="AB139" s="69"/>
      <c r="AC139" s="69"/>
      <c r="AD139" s="245"/>
      <c r="AE139" s="240"/>
      <c r="AF139" s="69"/>
      <c r="AG139" s="242"/>
      <c r="AH139" s="240"/>
      <c r="AI139" s="69"/>
    </row>
    <row r="140" spans="1:35" ht="15.75" x14ac:dyDescent="0.25">
      <c r="A140" s="127"/>
      <c r="B140" s="114" t="s">
        <v>90</v>
      </c>
      <c r="C140" s="49" t="s">
        <v>258</v>
      </c>
      <c r="D140" s="128"/>
      <c r="E140" s="128"/>
      <c r="F140" s="128"/>
      <c r="G140" s="129"/>
      <c r="H140" s="129">
        <v>5000000</v>
      </c>
      <c r="I140" s="129"/>
      <c r="J140" s="129">
        <f>5000000</f>
        <v>5000000</v>
      </c>
      <c r="K140" s="129"/>
      <c r="L140" s="129"/>
      <c r="M140" s="129"/>
      <c r="N140" s="129"/>
      <c r="O140" s="129"/>
      <c r="P140" s="129"/>
      <c r="Q140" s="129"/>
      <c r="R140" s="129"/>
      <c r="S140" s="129"/>
      <c r="T140" s="227"/>
      <c r="U140" s="186">
        <f t="shared" ref="U140:W142" si="232">E140+H140+K140+N140+Q140</f>
        <v>5000000</v>
      </c>
      <c r="V140" s="186">
        <f t="shared" si="232"/>
        <v>0</v>
      </c>
      <c r="W140" s="235">
        <f t="shared" si="232"/>
        <v>5000000</v>
      </c>
      <c r="X140" s="31">
        <f t="shared" ref="X140:Y142" si="233">E140+H140+K140-AA140</f>
        <v>0</v>
      </c>
      <c r="Y140" s="31">
        <f t="shared" si="233"/>
        <v>0</v>
      </c>
      <c r="Z140" s="243">
        <f t="shared" ref="Z140:Z142" si="234">G140+J140+M140-AD140</f>
        <v>0</v>
      </c>
      <c r="AA140" s="129">
        <v>5000000</v>
      </c>
      <c r="AB140" s="129"/>
      <c r="AC140" s="129"/>
      <c r="AD140" s="261">
        <v>5000000</v>
      </c>
      <c r="AE140" s="80">
        <f t="shared" ref="AE140:AG142" si="235">N140+Q140</f>
        <v>0</v>
      </c>
      <c r="AF140" s="80">
        <f t="shared" si="235"/>
        <v>0</v>
      </c>
      <c r="AG140" s="243">
        <f t="shared" si="235"/>
        <v>0</v>
      </c>
      <c r="AH140" s="129"/>
      <c r="AI140" s="12">
        <f t="shared" ref="AI140:AI142" si="236">W140-Z140-AD140-AG140</f>
        <v>0</v>
      </c>
    </row>
    <row r="141" spans="1:35" ht="15.75" x14ac:dyDescent="0.25">
      <c r="A141" s="127"/>
      <c r="B141" s="114" t="s">
        <v>91</v>
      </c>
      <c r="C141" s="49" t="s">
        <v>258</v>
      </c>
      <c r="D141" s="31">
        <v>40000000</v>
      </c>
      <c r="E141" s="31"/>
      <c r="F141" s="31"/>
      <c r="G141" s="129"/>
      <c r="H141" s="129"/>
      <c r="I141" s="129"/>
      <c r="J141" s="129"/>
      <c r="K141" s="129"/>
      <c r="L141" s="129">
        <v>20000000</v>
      </c>
      <c r="M141" s="31">
        <v>20000000</v>
      </c>
      <c r="N141" s="31"/>
      <c r="O141" s="31"/>
      <c r="P141" s="129"/>
      <c r="Q141" s="129"/>
      <c r="R141" s="129"/>
      <c r="S141" s="129"/>
      <c r="T141" s="227"/>
      <c r="U141" s="186">
        <f t="shared" si="232"/>
        <v>0</v>
      </c>
      <c r="V141" s="186">
        <f t="shared" si="232"/>
        <v>20000000</v>
      </c>
      <c r="W141" s="235">
        <f t="shared" si="232"/>
        <v>20000000</v>
      </c>
      <c r="X141" s="31">
        <f t="shared" si="233"/>
        <v>0</v>
      </c>
      <c r="Y141" s="31">
        <v>0</v>
      </c>
      <c r="Z141" s="243">
        <v>0</v>
      </c>
      <c r="AA141" s="129"/>
      <c r="AB141" s="129"/>
      <c r="AC141" s="129"/>
      <c r="AD141" s="261"/>
      <c r="AE141" s="80">
        <f t="shared" si="235"/>
        <v>0</v>
      </c>
      <c r="AF141" s="80">
        <f t="shared" si="235"/>
        <v>0</v>
      </c>
      <c r="AG141" s="243">
        <f t="shared" si="235"/>
        <v>0</v>
      </c>
      <c r="AH141" s="129"/>
      <c r="AI141" s="12">
        <f t="shared" si="236"/>
        <v>20000000</v>
      </c>
    </row>
    <row r="142" spans="1:35" ht="63" x14ac:dyDescent="0.25">
      <c r="A142" s="127"/>
      <c r="B142" s="114" t="s">
        <v>92</v>
      </c>
      <c r="C142" s="49" t="s">
        <v>258</v>
      </c>
      <c r="D142" s="128" t="s">
        <v>158</v>
      </c>
      <c r="E142" s="128"/>
      <c r="F142" s="128"/>
      <c r="G142" s="12"/>
      <c r="H142" s="12"/>
      <c r="I142" s="12"/>
      <c r="J142" s="12"/>
      <c r="K142" s="12">
        <v>41000000</v>
      </c>
      <c r="L142" s="12"/>
      <c r="M142" s="12">
        <f>205000000*20%</f>
        <v>41000000</v>
      </c>
      <c r="N142" s="12">
        <v>41000000</v>
      </c>
      <c r="O142" s="12"/>
      <c r="P142" s="12">
        <f t="shared" ref="P142:S142" si="237">205000000*20%</f>
        <v>41000000</v>
      </c>
      <c r="Q142" s="12">
        <v>41000000</v>
      </c>
      <c r="R142" s="12"/>
      <c r="S142" s="12">
        <f t="shared" si="237"/>
        <v>41000000</v>
      </c>
      <c r="T142" s="227"/>
      <c r="U142" s="186">
        <f t="shared" si="232"/>
        <v>123000000</v>
      </c>
      <c r="V142" s="186">
        <f t="shared" si="232"/>
        <v>0</v>
      </c>
      <c r="W142" s="235">
        <f t="shared" si="232"/>
        <v>123000000</v>
      </c>
      <c r="X142" s="31">
        <f t="shared" si="233"/>
        <v>41000000</v>
      </c>
      <c r="Y142" s="31">
        <f t="shared" si="233"/>
        <v>0</v>
      </c>
      <c r="Z142" s="243">
        <f t="shared" si="234"/>
        <v>41000000</v>
      </c>
      <c r="AA142" s="129"/>
      <c r="AB142" s="129"/>
      <c r="AC142" s="129"/>
      <c r="AD142" s="261"/>
      <c r="AE142" s="80">
        <f t="shared" si="235"/>
        <v>82000000</v>
      </c>
      <c r="AF142" s="80">
        <f t="shared" si="235"/>
        <v>0</v>
      </c>
      <c r="AG142" s="243">
        <f t="shared" si="235"/>
        <v>82000000</v>
      </c>
      <c r="AH142" s="129"/>
      <c r="AI142" s="12">
        <f t="shared" si="236"/>
        <v>0</v>
      </c>
    </row>
    <row r="143" spans="1:35" ht="47.25" x14ac:dyDescent="0.25">
      <c r="A143" s="127"/>
      <c r="B143" s="115" t="s">
        <v>205</v>
      </c>
      <c r="C143" s="49"/>
      <c r="D143" s="99"/>
      <c r="E143" s="99"/>
      <c r="F143" s="99"/>
      <c r="G143" s="70"/>
      <c r="H143" s="70"/>
      <c r="I143" s="70"/>
      <c r="J143" s="70"/>
      <c r="K143" s="70"/>
      <c r="L143" s="70"/>
      <c r="M143" s="69"/>
      <c r="N143" s="69"/>
      <c r="O143" s="69"/>
      <c r="P143" s="69"/>
      <c r="Q143" s="69"/>
      <c r="R143" s="69"/>
      <c r="S143" s="69"/>
      <c r="T143" s="211"/>
      <c r="U143" s="40"/>
      <c r="V143" s="86"/>
      <c r="W143" s="234"/>
      <c r="X143" s="41"/>
      <c r="Y143" s="71"/>
      <c r="Z143" s="242"/>
      <c r="AA143" s="69"/>
      <c r="AB143" s="69"/>
      <c r="AC143" s="69"/>
      <c r="AD143" s="245"/>
      <c r="AE143" s="240"/>
      <c r="AF143" s="69"/>
      <c r="AG143" s="242"/>
      <c r="AH143" s="240"/>
      <c r="AI143" s="69"/>
    </row>
    <row r="144" spans="1:35" ht="63" x14ac:dyDescent="0.25">
      <c r="A144" s="127"/>
      <c r="B144" s="114" t="s">
        <v>93</v>
      </c>
      <c r="C144" s="49" t="s">
        <v>258</v>
      </c>
      <c r="D144" s="128"/>
      <c r="E144" s="129">
        <v>1000000</v>
      </c>
      <c r="F144" s="128"/>
      <c r="G144" s="21">
        <v>1000000</v>
      </c>
      <c r="H144" s="21">
        <v>700000</v>
      </c>
      <c r="I144" s="21"/>
      <c r="J144" s="21">
        <v>700000</v>
      </c>
      <c r="K144" s="21">
        <v>700000</v>
      </c>
      <c r="L144" s="21"/>
      <c r="M144" s="21">
        <v>700000</v>
      </c>
      <c r="N144" s="21">
        <v>700000</v>
      </c>
      <c r="O144" s="21"/>
      <c r="P144" s="21">
        <v>700000</v>
      </c>
      <c r="Q144" s="21">
        <v>550000</v>
      </c>
      <c r="R144" s="21"/>
      <c r="S144" s="21">
        <v>550000</v>
      </c>
      <c r="T144" s="227"/>
      <c r="U144" s="186">
        <f t="shared" ref="U144:W147" si="238">E144+H144+K144+N144+Q144</f>
        <v>3650000</v>
      </c>
      <c r="V144" s="186">
        <f t="shared" si="238"/>
        <v>0</v>
      </c>
      <c r="W144" s="235">
        <f t="shared" si="238"/>
        <v>3650000</v>
      </c>
      <c r="X144" s="31">
        <f t="shared" ref="X144:Y147" si="239">E144+H144+K144-AA144</f>
        <v>-1250000</v>
      </c>
      <c r="Y144" s="31">
        <f t="shared" si="239"/>
        <v>0</v>
      </c>
      <c r="Z144" s="243">
        <f t="shared" ref="Z144:Z147" si="240">G144+J144+M144-AD144</f>
        <v>-1250000</v>
      </c>
      <c r="AA144" s="129">
        <v>3650000</v>
      </c>
      <c r="AB144" s="129"/>
      <c r="AC144" s="129"/>
      <c r="AD144" s="261">
        <v>3650000</v>
      </c>
      <c r="AE144" s="80">
        <f t="shared" ref="AE144:AG147" si="241">N144+Q144</f>
        <v>1250000</v>
      </c>
      <c r="AF144" s="80">
        <f t="shared" si="241"/>
        <v>0</v>
      </c>
      <c r="AG144" s="243">
        <f t="shared" si="241"/>
        <v>1250000</v>
      </c>
      <c r="AH144" s="129"/>
      <c r="AI144" s="12">
        <f t="shared" ref="AI144:AI147" si="242">W144-Z144-AD144-AG144</f>
        <v>0</v>
      </c>
    </row>
    <row r="145" spans="1:35" ht="63" x14ac:dyDescent="0.25">
      <c r="A145" s="127"/>
      <c r="B145" s="114" t="s">
        <v>94</v>
      </c>
      <c r="C145" s="49" t="s">
        <v>258</v>
      </c>
      <c r="D145" s="128"/>
      <c r="E145" s="128"/>
      <c r="F145" s="128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227"/>
      <c r="U145" s="186">
        <f t="shared" si="238"/>
        <v>0</v>
      </c>
      <c r="V145" s="186">
        <f t="shared" si="238"/>
        <v>0</v>
      </c>
      <c r="W145" s="235">
        <f t="shared" si="238"/>
        <v>0</v>
      </c>
      <c r="X145" s="31">
        <f t="shared" si="239"/>
        <v>0</v>
      </c>
      <c r="Y145" s="31">
        <f t="shared" si="239"/>
        <v>0</v>
      </c>
      <c r="Z145" s="243">
        <f t="shared" si="240"/>
        <v>0</v>
      </c>
      <c r="AA145" s="129"/>
      <c r="AB145" s="129"/>
      <c r="AC145" s="129"/>
      <c r="AD145" s="261"/>
      <c r="AE145" s="80">
        <f t="shared" si="241"/>
        <v>0</v>
      </c>
      <c r="AF145" s="80">
        <f t="shared" si="241"/>
        <v>0</v>
      </c>
      <c r="AG145" s="243">
        <f t="shared" si="241"/>
        <v>0</v>
      </c>
      <c r="AH145" s="129"/>
      <c r="AI145" s="12">
        <f t="shared" si="242"/>
        <v>0</v>
      </c>
    </row>
    <row r="146" spans="1:35" ht="47.25" x14ac:dyDescent="0.25">
      <c r="A146" s="127"/>
      <c r="B146" s="114" t="s">
        <v>95</v>
      </c>
      <c r="C146" s="49" t="s">
        <v>258</v>
      </c>
      <c r="D146" s="31">
        <f>300*96</f>
        <v>28800</v>
      </c>
      <c r="E146" s="31"/>
      <c r="F146" s="31"/>
      <c r="G146" s="129"/>
      <c r="H146" s="129">
        <f>$D146*30</f>
        <v>864000</v>
      </c>
      <c r="I146" s="129"/>
      <c r="J146" s="129">
        <f>$D146*30</f>
        <v>864000</v>
      </c>
      <c r="K146" s="129">
        <f>$D146*30</f>
        <v>864000</v>
      </c>
      <c r="L146" s="129"/>
      <c r="M146" s="129">
        <f t="shared" ref="M146:P146" si="243">$D146*30</f>
        <v>864000</v>
      </c>
      <c r="N146" s="129">
        <f>$D146*30</f>
        <v>864000</v>
      </c>
      <c r="O146" s="129"/>
      <c r="P146" s="129">
        <f t="shared" si="243"/>
        <v>864000</v>
      </c>
      <c r="Q146" s="129"/>
      <c r="R146" s="129"/>
      <c r="S146" s="129"/>
      <c r="T146" s="227"/>
      <c r="U146" s="186">
        <f t="shared" si="238"/>
        <v>2592000</v>
      </c>
      <c r="V146" s="186">
        <f t="shared" si="238"/>
        <v>0</v>
      </c>
      <c r="W146" s="235">
        <f t="shared" si="238"/>
        <v>2592000</v>
      </c>
      <c r="X146" s="31">
        <f t="shared" si="239"/>
        <v>-864000</v>
      </c>
      <c r="Y146" s="31">
        <f t="shared" si="239"/>
        <v>0</v>
      </c>
      <c r="Z146" s="243">
        <f t="shared" si="240"/>
        <v>-864000</v>
      </c>
      <c r="AA146" s="129">
        <v>2592000</v>
      </c>
      <c r="AB146" s="129"/>
      <c r="AC146" s="129"/>
      <c r="AD146" s="261">
        <v>2592000</v>
      </c>
      <c r="AE146" s="80">
        <f t="shared" si="241"/>
        <v>864000</v>
      </c>
      <c r="AF146" s="80">
        <f t="shared" si="241"/>
        <v>0</v>
      </c>
      <c r="AG146" s="243">
        <f t="shared" si="241"/>
        <v>864000</v>
      </c>
      <c r="AH146" s="129"/>
      <c r="AI146" s="12">
        <f t="shared" si="242"/>
        <v>0</v>
      </c>
    </row>
    <row r="147" spans="1:35" ht="47.25" x14ac:dyDescent="0.25">
      <c r="A147" s="127"/>
      <c r="B147" s="114" t="s">
        <v>96</v>
      </c>
      <c r="C147" s="49" t="s">
        <v>258</v>
      </c>
      <c r="D147" s="128" t="s">
        <v>159</v>
      </c>
      <c r="E147" s="129">
        <f>G147</f>
        <v>87147750</v>
      </c>
      <c r="F147" s="128"/>
      <c r="G147" s="129">
        <f>2904925000*3%</f>
        <v>87147750</v>
      </c>
      <c r="H147" s="129">
        <v>87147750</v>
      </c>
      <c r="I147" s="129"/>
      <c r="J147" s="129">
        <f t="shared" ref="J147:S147" si="244">2904925000*3%</f>
        <v>87147750</v>
      </c>
      <c r="K147" s="129">
        <v>87147750</v>
      </c>
      <c r="L147" s="129"/>
      <c r="M147" s="129">
        <f t="shared" si="244"/>
        <v>87147750</v>
      </c>
      <c r="N147" s="129">
        <v>87147750</v>
      </c>
      <c r="O147" s="129"/>
      <c r="P147" s="129">
        <f t="shared" si="244"/>
        <v>87147750</v>
      </c>
      <c r="Q147" s="129">
        <v>87147750</v>
      </c>
      <c r="R147" s="129"/>
      <c r="S147" s="129">
        <f t="shared" si="244"/>
        <v>87147750</v>
      </c>
      <c r="T147" s="227"/>
      <c r="U147" s="186">
        <f t="shared" si="238"/>
        <v>435738750</v>
      </c>
      <c r="V147" s="186">
        <f t="shared" si="238"/>
        <v>0</v>
      </c>
      <c r="W147" s="235">
        <f t="shared" si="238"/>
        <v>435738750</v>
      </c>
      <c r="X147" s="31">
        <f t="shared" si="239"/>
        <v>261443250</v>
      </c>
      <c r="Y147" s="31">
        <f t="shared" si="239"/>
        <v>0</v>
      </c>
      <c r="Z147" s="243">
        <f t="shared" si="240"/>
        <v>261443250</v>
      </c>
      <c r="AA147" s="129"/>
      <c r="AB147" s="129"/>
      <c r="AC147" s="129"/>
      <c r="AD147" s="261"/>
      <c r="AE147" s="80">
        <f t="shared" si="241"/>
        <v>174295500</v>
      </c>
      <c r="AF147" s="80">
        <f t="shared" si="241"/>
        <v>0</v>
      </c>
      <c r="AG147" s="243">
        <f t="shared" si="241"/>
        <v>174295500</v>
      </c>
      <c r="AH147" s="129"/>
      <c r="AI147" s="12">
        <f t="shared" si="242"/>
        <v>0</v>
      </c>
    </row>
    <row r="148" spans="1:35" ht="63" x14ac:dyDescent="0.25">
      <c r="A148" s="127"/>
      <c r="B148" s="115" t="s">
        <v>206</v>
      </c>
      <c r="C148" s="49"/>
      <c r="D148" s="99"/>
      <c r="E148" s="99"/>
      <c r="F148" s="99"/>
      <c r="G148" s="70"/>
      <c r="H148" s="70"/>
      <c r="I148" s="70"/>
      <c r="J148" s="70"/>
      <c r="K148" s="70"/>
      <c r="L148" s="70"/>
      <c r="M148" s="69"/>
      <c r="N148" s="69"/>
      <c r="O148" s="69"/>
      <c r="P148" s="69"/>
      <c r="Q148" s="69"/>
      <c r="R148" s="69"/>
      <c r="S148" s="69"/>
      <c r="T148" s="211"/>
      <c r="U148" s="40"/>
      <c r="V148" s="86"/>
      <c r="W148" s="234"/>
      <c r="X148" s="41"/>
      <c r="Y148" s="71"/>
      <c r="Z148" s="242"/>
      <c r="AA148" s="69"/>
      <c r="AB148" s="69"/>
      <c r="AC148" s="69"/>
      <c r="AD148" s="245"/>
      <c r="AE148" s="240"/>
      <c r="AF148" s="69"/>
      <c r="AG148" s="242"/>
      <c r="AH148" s="240"/>
      <c r="AI148" s="69"/>
    </row>
    <row r="149" spans="1:35" ht="47.25" x14ac:dyDescent="0.25">
      <c r="A149" s="127"/>
      <c r="B149" s="114" t="s">
        <v>97</v>
      </c>
      <c r="C149" s="49" t="s">
        <v>255</v>
      </c>
      <c r="D149" s="128"/>
      <c r="E149" s="129">
        <f>90000*50</f>
        <v>4500000</v>
      </c>
      <c r="F149" s="128"/>
      <c r="G149" s="129">
        <f>90000*50</f>
        <v>4500000</v>
      </c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227"/>
      <c r="U149" s="186">
        <f t="shared" ref="U149:W153" si="245">E149+H149+K149+N149+Q149</f>
        <v>4500000</v>
      </c>
      <c r="V149" s="186">
        <f t="shared" si="245"/>
        <v>0</v>
      </c>
      <c r="W149" s="235">
        <f t="shared" si="245"/>
        <v>4500000</v>
      </c>
      <c r="X149" s="31">
        <f t="shared" ref="X149:Y152" si="246">E149+H149+K149-AA149</f>
        <v>0</v>
      </c>
      <c r="Y149" s="31">
        <f t="shared" si="246"/>
        <v>0</v>
      </c>
      <c r="Z149" s="243">
        <f t="shared" ref="Z149:Z152" si="247">G149+J149+M149-AD149</f>
        <v>0</v>
      </c>
      <c r="AA149" s="129">
        <v>4500000</v>
      </c>
      <c r="AB149" s="129"/>
      <c r="AC149" s="129"/>
      <c r="AD149" s="261">
        <v>4500000</v>
      </c>
      <c r="AE149" s="80">
        <f t="shared" ref="AE149:AG152" si="248">N149+Q149</f>
        <v>0</v>
      </c>
      <c r="AF149" s="80">
        <f t="shared" si="248"/>
        <v>0</v>
      </c>
      <c r="AG149" s="243">
        <f t="shared" si="248"/>
        <v>0</v>
      </c>
      <c r="AH149" s="129"/>
      <c r="AI149" s="12">
        <f t="shared" ref="AI149:AI152" si="249">W149-Z149-AD149-AG149</f>
        <v>0</v>
      </c>
    </row>
    <row r="150" spans="1:35" ht="47.25" x14ac:dyDescent="0.25">
      <c r="A150" s="127"/>
      <c r="B150" s="114" t="s">
        <v>98</v>
      </c>
      <c r="C150" s="49" t="s">
        <v>266</v>
      </c>
      <c r="D150" s="128"/>
      <c r="E150" s="128"/>
      <c r="F150" s="128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227"/>
      <c r="U150" s="186">
        <f t="shared" si="245"/>
        <v>0</v>
      </c>
      <c r="V150" s="186">
        <f t="shared" si="245"/>
        <v>0</v>
      </c>
      <c r="W150" s="235">
        <f t="shared" si="245"/>
        <v>0</v>
      </c>
      <c r="X150" s="31">
        <f t="shared" si="246"/>
        <v>0</v>
      </c>
      <c r="Y150" s="31">
        <f t="shared" si="246"/>
        <v>0</v>
      </c>
      <c r="Z150" s="243">
        <f t="shared" si="247"/>
        <v>0</v>
      </c>
      <c r="AA150" s="129"/>
      <c r="AB150" s="129"/>
      <c r="AC150" s="129"/>
      <c r="AD150" s="261"/>
      <c r="AE150" s="80">
        <f t="shared" si="248"/>
        <v>0</v>
      </c>
      <c r="AF150" s="80">
        <f t="shared" si="248"/>
        <v>0</v>
      </c>
      <c r="AG150" s="243">
        <f t="shared" si="248"/>
        <v>0</v>
      </c>
      <c r="AH150" s="129"/>
      <c r="AI150" s="12">
        <f t="shared" si="249"/>
        <v>0</v>
      </c>
    </row>
    <row r="151" spans="1:35" ht="47.25" x14ac:dyDescent="0.25">
      <c r="A151" s="127"/>
      <c r="B151" s="114" t="s">
        <v>99</v>
      </c>
      <c r="C151" s="49" t="s">
        <v>257</v>
      </c>
      <c r="D151" s="128"/>
      <c r="E151" s="128"/>
      <c r="F151" s="128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227"/>
      <c r="U151" s="186">
        <f t="shared" si="245"/>
        <v>0</v>
      </c>
      <c r="V151" s="186">
        <f t="shared" si="245"/>
        <v>0</v>
      </c>
      <c r="W151" s="235">
        <f t="shared" si="245"/>
        <v>0</v>
      </c>
      <c r="X151" s="31">
        <f t="shared" si="246"/>
        <v>0</v>
      </c>
      <c r="Y151" s="31">
        <f t="shared" si="246"/>
        <v>0</v>
      </c>
      <c r="Z151" s="243">
        <f t="shared" si="247"/>
        <v>0</v>
      </c>
      <c r="AA151" s="129"/>
      <c r="AB151" s="129"/>
      <c r="AC151" s="129"/>
      <c r="AD151" s="261"/>
      <c r="AE151" s="80">
        <f t="shared" si="248"/>
        <v>0</v>
      </c>
      <c r="AF151" s="80">
        <f t="shared" si="248"/>
        <v>0</v>
      </c>
      <c r="AG151" s="243">
        <f t="shared" si="248"/>
        <v>0</v>
      </c>
      <c r="AH151" s="129"/>
      <c r="AI151" s="12">
        <f t="shared" si="249"/>
        <v>0</v>
      </c>
    </row>
    <row r="152" spans="1:35" ht="47.25" x14ac:dyDescent="0.25">
      <c r="A152" s="127"/>
      <c r="B152" s="114" t="s">
        <v>100</v>
      </c>
      <c r="C152" s="49" t="s">
        <v>258</v>
      </c>
      <c r="D152" s="128" t="s">
        <v>160</v>
      </c>
      <c r="E152" s="129">
        <f>2904925000*0.5%</f>
        <v>14524625</v>
      </c>
      <c r="F152" s="128"/>
      <c r="G152" s="129">
        <f>2904925000*0.5%</f>
        <v>14524625</v>
      </c>
      <c r="H152" s="129">
        <f t="shared" ref="H152:S152" si="250">2904925000*0.5%</f>
        <v>14524625</v>
      </c>
      <c r="I152" s="129"/>
      <c r="J152" s="129">
        <f t="shared" si="250"/>
        <v>14524625</v>
      </c>
      <c r="K152" s="129">
        <f t="shared" si="250"/>
        <v>14524625</v>
      </c>
      <c r="L152" s="129"/>
      <c r="M152" s="129">
        <f t="shared" si="250"/>
        <v>14524625</v>
      </c>
      <c r="N152" s="129">
        <f t="shared" si="250"/>
        <v>14524625</v>
      </c>
      <c r="O152" s="129"/>
      <c r="P152" s="129">
        <f t="shared" si="250"/>
        <v>14524625</v>
      </c>
      <c r="Q152" s="129">
        <f t="shared" si="250"/>
        <v>14524625</v>
      </c>
      <c r="R152" s="129"/>
      <c r="S152" s="129">
        <f t="shared" si="250"/>
        <v>14524625</v>
      </c>
      <c r="T152" s="227"/>
      <c r="U152" s="186">
        <f t="shared" si="245"/>
        <v>72623125</v>
      </c>
      <c r="V152" s="186">
        <f t="shared" si="245"/>
        <v>0</v>
      </c>
      <c r="W152" s="235">
        <f t="shared" si="245"/>
        <v>72623125</v>
      </c>
      <c r="X152" s="31">
        <f t="shared" si="246"/>
        <v>43573875</v>
      </c>
      <c r="Y152" s="31">
        <f t="shared" si="246"/>
        <v>0</v>
      </c>
      <c r="Z152" s="243">
        <f t="shared" si="247"/>
        <v>43573875</v>
      </c>
      <c r="AA152" s="129"/>
      <c r="AB152" s="129"/>
      <c r="AC152" s="129"/>
      <c r="AD152" s="261"/>
      <c r="AE152" s="80">
        <f t="shared" si="248"/>
        <v>29049250</v>
      </c>
      <c r="AF152" s="80">
        <f t="shared" si="248"/>
        <v>0</v>
      </c>
      <c r="AG152" s="243">
        <f t="shared" si="248"/>
        <v>29049250</v>
      </c>
      <c r="AH152" s="129"/>
      <c r="AI152" s="12">
        <f t="shared" si="249"/>
        <v>0</v>
      </c>
    </row>
    <row r="153" spans="1:35" ht="15.75" x14ac:dyDescent="0.25">
      <c r="A153" s="77"/>
      <c r="B153" s="107" t="s">
        <v>17</v>
      </c>
      <c r="C153" s="108"/>
      <c r="D153" s="82"/>
      <c r="E153" s="100">
        <f t="shared" ref="E153:AI153" si="251">SUM(E135:E152)</f>
        <v>107172375</v>
      </c>
      <c r="F153" s="100">
        <f t="shared" si="251"/>
        <v>0</v>
      </c>
      <c r="G153" s="100">
        <f t="shared" si="251"/>
        <v>107172375</v>
      </c>
      <c r="H153" s="100">
        <f t="shared" si="251"/>
        <v>110236375</v>
      </c>
      <c r="I153" s="100">
        <f t="shared" si="251"/>
        <v>0</v>
      </c>
      <c r="J153" s="100">
        <f t="shared" si="251"/>
        <v>110236375</v>
      </c>
      <c r="K153" s="100">
        <f t="shared" si="251"/>
        <v>144236375</v>
      </c>
      <c r="L153" s="100">
        <f t="shared" si="251"/>
        <v>20000000</v>
      </c>
      <c r="M153" s="100">
        <f t="shared" si="251"/>
        <v>164236375</v>
      </c>
      <c r="N153" s="100">
        <f t="shared" si="251"/>
        <v>144236375</v>
      </c>
      <c r="O153" s="100">
        <f t="shared" si="251"/>
        <v>0</v>
      </c>
      <c r="P153" s="100">
        <f t="shared" si="251"/>
        <v>144236375</v>
      </c>
      <c r="Q153" s="100">
        <f t="shared" si="251"/>
        <v>143222375</v>
      </c>
      <c r="R153" s="100">
        <f t="shared" si="251"/>
        <v>0</v>
      </c>
      <c r="S153" s="100">
        <f t="shared" si="251"/>
        <v>143222375</v>
      </c>
      <c r="T153" s="226"/>
      <c r="U153" s="268">
        <f>E153+H153+K153+N153+Q153</f>
        <v>649103875</v>
      </c>
      <c r="V153" s="268">
        <f>F153+I153+L153+O153+R153</f>
        <v>20000000</v>
      </c>
      <c r="W153" s="269">
        <f t="shared" si="245"/>
        <v>669103875</v>
      </c>
      <c r="X153" s="222">
        <f>SUM(X136:X152)</f>
        <v>343903125</v>
      </c>
      <c r="Y153" s="100">
        <f t="shared" ref="Y153:AC153" si="252">SUM(Y135:Y152)</f>
        <v>0</v>
      </c>
      <c r="Z153" s="260">
        <f t="shared" si="251"/>
        <v>343903125</v>
      </c>
      <c r="AA153" s="222">
        <f t="shared" si="252"/>
        <v>15742000</v>
      </c>
      <c r="AB153" s="100">
        <f t="shared" si="252"/>
        <v>0</v>
      </c>
      <c r="AC153" s="100">
        <f t="shared" si="252"/>
        <v>0</v>
      </c>
      <c r="AD153" s="260">
        <f t="shared" si="251"/>
        <v>15742000</v>
      </c>
      <c r="AE153" s="222">
        <f t="shared" si="251"/>
        <v>287458750</v>
      </c>
      <c r="AF153" s="100">
        <f t="shared" si="251"/>
        <v>0</v>
      </c>
      <c r="AG153" s="260">
        <f t="shared" si="251"/>
        <v>287458750</v>
      </c>
      <c r="AH153" s="222"/>
      <c r="AI153" s="100">
        <f t="shared" si="251"/>
        <v>22000000</v>
      </c>
    </row>
    <row r="154" spans="1:35" ht="16.5" thickBot="1" x14ac:dyDescent="0.3">
      <c r="A154" s="55"/>
      <c r="B154" s="26" t="s">
        <v>14</v>
      </c>
      <c r="C154" s="27"/>
      <c r="D154" s="28"/>
      <c r="E154" s="29">
        <f t="shared" ref="E154:F154" si="253">E133+E153</f>
        <v>1429727675</v>
      </c>
      <c r="F154" s="29">
        <f t="shared" si="253"/>
        <v>105075000</v>
      </c>
      <c r="G154" s="29">
        <f>G133+G153</f>
        <v>1534802675</v>
      </c>
      <c r="H154" s="29">
        <f t="shared" ref="H154:S154" si="254">H133+H153</f>
        <v>1498241575</v>
      </c>
      <c r="I154" s="29">
        <f t="shared" si="254"/>
        <v>105075000</v>
      </c>
      <c r="J154" s="29">
        <f t="shared" si="254"/>
        <v>1603316575</v>
      </c>
      <c r="K154" s="29">
        <f t="shared" si="254"/>
        <v>1733576075</v>
      </c>
      <c r="L154" s="29">
        <f t="shared" si="254"/>
        <v>125075000</v>
      </c>
      <c r="M154" s="29">
        <f t="shared" si="254"/>
        <v>1858651075</v>
      </c>
      <c r="N154" s="29">
        <f t="shared" si="254"/>
        <v>1784322475</v>
      </c>
      <c r="O154" s="29">
        <f t="shared" si="254"/>
        <v>105075000</v>
      </c>
      <c r="P154" s="29">
        <f t="shared" si="254"/>
        <v>1889397475</v>
      </c>
      <c r="Q154" s="29">
        <f t="shared" si="254"/>
        <v>1907914975</v>
      </c>
      <c r="R154" s="29">
        <f t="shared" si="254"/>
        <v>105075000</v>
      </c>
      <c r="S154" s="29">
        <f t="shared" si="254"/>
        <v>2012989975</v>
      </c>
      <c r="T154" s="228"/>
      <c r="U154" s="29">
        <f>U153+U133</f>
        <v>8353782775</v>
      </c>
      <c r="V154" s="29">
        <f>V153+V133</f>
        <v>545375000</v>
      </c>
      <c r="W154" s="228">
        <f t="shared" ref="W154:AI154" si="255">W133+W153</f>
        <v>8899157775</v>
      </c>
      <c r="X154" s="29"/>
      <c r="Y154" s="29"/>
      <c r="Z154" s="263">
        <f t="shared" si="255"/>
        <v>2596241325</v>
      </c>
      <c r="AA154" s="29">
        <f t="shared" si="255"/>
        <v>1597949000</v>
      </c>
      <c r="AB154" s="29">
        <f t="shared" si="255"/>
        <v>210150000</v>
      </c>
      <c r="AC154" s="29">
        <f t="shared" si="255"/>
        <v>0</v>
      </c>
      <c r="AD154" s="263">
        <f t="shared" si="255"/>
        <v>1808099000</v>
      </c>
      <c r="AE154" s="29">
        <f t="shared" si="255"/>
        <v>2691724200</v>
      </c>
      <c r="AF154" s="29">
        <f t="shared" si="255"/>
        <v>157612500</v>
      </c>
      <c r="AG154" s="253">
        <f t="shared" si="255"/>
        <v>2849336700</v>
      </c>
      <c r="AH154" s="29"/>
      <c r="AI154" s="29">
        <f t="shared" si="255"/>
        <v>1645480750</v>
      </c>
    </row>
    <row r="155" spans="1:35" ht="16.5" thickBot="1" x14ac:dyDescent="0.3">
      <c r="A155" s="117"/>
      <c r="B155" s="125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1"/>
      <c r="AF155" s="120"/>
      <c r="AG155" s="120"/>
      <c r="AH155" s="120"/>
      <c r="AI155" s="122"/>
    </row>
    <row r="156" spans="1:35" ht="18.75" x14ac:dyDescent="0.25">
      <c r="A156" s="51"/>
      <c r="B156" s="368" t="s">
        <v>101</v>
      </c>
      <c r="C156" s="369"/>
      <c r="D156" s="369"/>
      <c r="E156" s="369"/>
      <c r="F156" s="369"/>
      <c r="G156" s="369"/>
      <c r="H156" s="369"/>
      <c r="I156" s="369"/>
      <c r="J156" s="369"/>
      <c r="K156" s="369"/>
      <c r="L156" s="369"/>
      <c r="M156" s="369"/>
      <c r="N156" s="369"/>
      <c r="O156" s="369"/>
      <c r="P156" s="369"/>
      <c r="Q156" s="369"/>
      <c r="R156" s="369"/>
      <c r="S156" s="369"/>
      <c r="T156" s="369"/>
      <c r="U156" s="369"/>
      <c r="V156" s="369"/>
      <c r="W156" s="369"/>
      <c r="X156" s="369"/>
      <c r="Y156" s="369"/>
      <c r="Z156" s="369"/>
      <c r="AA156" s="369"/>
      <c r="AB156" s="369"/>
      <c r="AC156" s="369"/>
      <c r="AD156" s="369"/>
      <c r="AE156" s="386"/>
      <c r="AF156" s="72"/>
      <c r="AG156" s="72">
        <f t="shared" ref="AG156:AG157" si="256">W156/96</f>
        <v>0</v>
      </c>
      <c r="AH156" s="72"/>
      <c r="AI156" s="72"/>
    </row>
    <row r="157" spans="1:35" ht="18.75" x14ac:dyDescent="0.25">
      <c r="A157" s="53"/>
      <c r="B157" s="388" t="s">
        <v>116</v>
      </c>
      <c r="C157" s="372"/>
      <c r="D157" s="372"/>
      <c r="E157" s="372"/>
      <c r="F157" s="372"/>
      <c r="G157" s="372"/>
      <c r="H157" s="372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3"/>
      <c r="T157" s="231"/>
      <c r="U157" s="229"/>
      <c r="V157" s="45"/>
      <c r="W157" s="237"/>
      <c r="X157" s="187"/>
      <c r="Y157" s="46"/>
      <c r="Z157" s="46"/>
      <c r="AA157" s="46"/>
      <c r="AB157" s="46"/>
      <c r="AC157" s="46"/>
      <c r="AD157" s="46"/>
      <c r="AE157" s="46"/>
      <c r="AF157" s="46"/>
      <c r="AG157" s="46">
        <f t="shared" si="256"/>
        <v>0</v>
      </c>
      <c r="AH157" s="46"/>
      <c r="AI157" s="46"/>
    </row>
    <row r="158" spans="1:35" ht="31.5" x14ac:dyDescent="0.25">
      <c r="A158" s="387" t="s">
        <v>4</v>
      </c>
      <c r="B158" s="115" t="s">
        <v>207</v>
      </c>
      <c r="C158" s="49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211"/>
      <c r="U158" s="40"/>
      <c r="V158" s="86"/>
      <c r="W158" s="234"/>
      <c r="X158" s="41"/>
      <c r="Y158" s="71"/>
      <c r="Z158" s="101"/>
      <c r="AA158" s="101"/>
      <c r="AB158" s="101"/>
      <c r="AC158" s="101"/>
      <c r="AD158" s="101"/>
      <c r="AE158" s="101"/>
      <c r="AF158" s="69"/>
      <c r="AG158" s="69"/>
      <c r="AH158" s="69"/>
      <c r="AI158" s="69"/>
    </row>
    <row r="159" spans="1:35" ht="31.5" x14ac:dyDescent="0.25">
      <c r="A159" s="387"/>
      <c r="B159" s="114" t="s">
        <v>102</v>
      </c>
      <c r="C159" s="49" t="s">
        <v>254</v>
      </c>
      <c r="D159" s="3"/>
      <c r="E159" s="12"/>
      <c r="F159" s="3"/>
      <c r="G159" s="12"/>
      <c r="H159" s="12">
        <v>2500000</v>
      </c>
      <c r="I159" s="12"/>
      <c r="J159" s="12">
        <v>2500000</v>
      </c>
      <c r="K159" s="3"/>
      <c r="L159" s="12"/>
      <c r="M159" s="3"/>
      <c r="N159" s="3"/>
      <c r="O159" s="3"/>
      <c r="P159" s="3"/>
      <c r="Q159" s="3"/>
      <c r="R159" s="3"/>
      <c r="S159" s="3"/>
      <c r="T159" s="212"/>
      <c r="U159" s="186">
        <f t="shared" ref="U159:W162" si="257">E159+H159+K159+N159+Q159</f>
        <v>2500000</v>
      </c>
      <c r="V159" s="186">
        <f t="shared" si="257"/>
        <v>0</v>
      </c>
      <c r="W159" s="235">
        <f t="shared" si="257"/>
        <v>2500000</v>
      </c>
      <c r="X159" s="31">
        <v>0</v>
      </c>
      <c r="Y159" s="31">
        <f t="shared" ref="Y159:Y162" si="258">F159+I159+L159-AB159</f>
        <v>0</v>
      </c>
      <c r="Z159" s="243">
        <v>0</v>
      </c>
      <c r="AA159" s="19"/>
      <c r="AB159" s="19"/>
      <c r="AC159" s="19"/>
      <c r="AD159" s="12">
        <f t="shared" ref="AD159:AD189" si="259">AB159</f>
        <v>0</v>
      </c>
      <c r="AE159" s="80">
        <f t="shared" ref="AE159:AG162" si="260">N159+Q159</f>
        <v>0</v>
      </c>
      <c r="AF159" s="80">
        <f t="shared" si="260"/>
        <v>0</v>
      </c>
      <c r="AG159" s="243">
        <f t="shared" si="260"/>
        <v>0</v>
      </c>
      <c r="AH159" s="12"/>
      <c r="AI159" s="12">
        <f t="shared" ref="AI159:AI162" si="261">W159-Z159-AD159-AG159</f>
        <v>2500000</v>
      </c>
    </row>
    <row r="160" spans="1:35" ht="15.75" x14ac:dyDescent="0.25">
      <c r="A160" s="387"/>
      <c r="B160" s="114" t="s">
        <v>269</v>
      </c>
      <c r="C160" s="49" t="s">
        <v>270</v>
      </c>
      <c r="D160" s="3"/>
      <c r="E160" s="12"/>
      <c r="F160" s="3"/>
      <c r="G160" s="12"/>
      <c r="H160" s="3"/>
      <c r="I160" s="1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212"/>
      <c r="U160" s="186">
        <f t="shared" si="257"/>
        <v>0</v>
      </c>
      <c r="V160" s="186">
        <f t="shared" si="257"/>
        <v>0</v>
      </c>
      <c r="W160" s="235">
        <f t="shared" si="257"/>
        <v>0</v>
      </c>
      <c r="X160" s="31">
        <f t="shared" ref="X160:X161" si="262">E160+H160+K160-AA160</f>
        <v>0</v>
      </c>
      <c r="Y160" s="31">
        <f t="shared" si="258"/>
        <v>0</v>
      </c>
      <c r="Z160" s="243">
        <f t="shared" ref="Z160:Z161" si="263">G160+J160+M160-AD160</f>
        <v>0</v>
      </c>
      <c r="AA160" s="19"/>
      <c r="AB160" s="19"/>
      <c r="AC160" s="19"/>
      <c r="AD160" s="12">
        <f t="shared" si="259"/>
        <v>0</v>
      </c>
      <c r="AE160" s="80">
        <f t="shared" si="260"/>
        <v>0</v>
      </c>
      <c r="AF160" s="80">
        <f t="shared" si="260"/>
        <v>0</v>
      </c>
      <c r="AG160" s="243">
        <f t="shared" si="260"/>
        <v>0</v>
      </c>
      <c r="AH160" s="12"/>
      <c r="AI160" s="12">
        <f t="shared" si="261"/>
        <v>0</v>
      </c>
    </row>
    <row r="161" spans="1:35" ht="31.5" x14ac:dyDescent="0.25">
      <c r="A161" s="387"/>
      <c r="B161" s="114" t="s">
        <v>103</v>
      </c>
      <c r="C161" s="49" t="s">
        <v>254</v>
      </c>
      <c r="D161" s="3"/>
      <c r="E161" s="21"/>
      <c r="F161" s="3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2"/>
      <c r="U161" s="186">
        <f t="shared" si="257"/>
        <v>0</v>
      </c>
      <c r="V161" s="186">
        <f t="shared" si="257"/>
        <v>0</v>
      </c>
      <c r="W161" s="235">
        <f t="shared" si="257"/>
        <v>0</v>
      </c>
      <c r="X161" s="31">
        <f t="shared" si="262"/>
        <v>0</v>
      </c>
      <c r="Y161" s="31">
        <f t="shared" si="258"/>
        <v>0</v>
      </c>
      <c r="Z161" s="243">
        <f t="shared" si="263"/>
        <v>0</v>
      </c>
      <c r="AA161" s="67"/>
      <c r="AB161" s="67"/>
      <c r="AC161" s="67"/>
      <c r="AD161" s="12">
        <f t="shared" si="259"/>
        <v>0</v>
      </c>
      <c r="AE161" s="80">
        <f t="shared" si="260"/>
        <v>0</v>
      </c>
      <c r="AF161" s="80">
        <f t="shared" si="260"/>
        <v>0</v>
      </c>
      <c r="AG161" s="243">
        <f t="shared" si="260"/>
        <v>0</v>
      </c>
      <c r="AH161" s="12"/>
      <c r="AI161" s="12">
        <f t="shared" si="261"/>
        <v>0</v>
      </c>
    </row>
    <row r="162" spans="1:35" ht="15.75" x14ac:dyDescent="0.25">
      <c r="A162" s="387"/>
      <c r="B162" s="114" t="s">
        <v>104</v>
      </c>
      <c r="C162" s="49" t="s">
        <v>270</v>
      </c>
      <c r="D162" s="31">
        <v>160000</v>
      </c>
      <c r="E162" s="31"/>
      <c r="F162" s="31"/>
      <c r="G162" s="31"/>
      <c r="H162" s="31"/>
      <c r="I162" s="31"/>
      <c r="J162" s="31"/>
      <c r="K162" s="31">
        <f>$D162*200</f>
        <v>32000000</v>
      </c>
      <c r="L162" s="31"/>
      <c r="M162" s="31">
        <f>D162*200</f>
        <v>32000000</v>
      </c>
      <c r="N162" s="31">
        <v>48000000</v>
      </c>
      <c r="O162" s="31"/>
      <c r="P162" s="31">
        <f>D162*300</f>
        <v>48000000</v>
      </c>
      <c r="Q162" s="31">
        <v>80000000</v>
      </c>
      <c r="R162" s="31"/>
      <c r="S162" s="31">
        <f>D162*500</f>
        <v>80000000</v>
      </c>
      <c r="T162" s="212"/>
      <c r="U162" s="186">
        <f t="shared" si="257"/>
        <v>160000000</v>
      </c>
      <c r="V162" s="186">
        <f t="shared" si="257"/>
        <v>0</v>
      </c>
      <c r="W162" s="235">
        <f t="shared" si="257"/>
        <v>160000000</v>
      </c>
      <c r="X162" s="31">
        <v>0</v>
      </c>
      <c r="Y162" s="31">
        <f t="shared" si="258"/>
        <v>0</v>
      </c>
      <c r="Z162" s="243">
        <v>0</v>
      </c>
      <c r="AA162" s="31">
        <v>112000000</v>
      </c>
      <c r="AB162" s="131"/>
      <c r="AC162" s="131"/>
      <c r="AD162" s="80">
        <f>U162*0.7</f>
        <v>112000000</v>
      </c>
      <c r="AE162" s="80">
        <v>0</v>
      </c>
      <c r="AF162" s="80">
        <f t="shared" si="260"/>
        <v>0</v>
      </c>
      <c r="AG162" s="243">
        <v>0</v>
      </c>
      <c r="AH162" s="80"/>
      <c r="AI162" s="12">
        <f t="shared" si="261"/>
        <v>48000000</v>
      </c>
    </row>
    <row r="163" spans="1:35" ht="63" x14ac:dyDescent="0.25">
      <c r="A163" s="387"/>
      <c r="B163" s="115" t="s">
        <v>208</v>
      </c>
      <c r="C163" s="49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211"/>
      <c r="U163" s="40"/>
      <c r="V163" s="86"/>
      <c r="W163" s="234"/>
      <c r="X163" s="41"/>
      <c r="Y163" s="71"/>
      <c r="Z163" s="101"/>
      <c r="AA163" s="101"/>
      <c r="AB163" s="101"/>
      <c r="AC163" s="101"/>
      <c r="AD163" s="69"/>
      <c r="AE163" s="101"/>
      <c r="AF163" s="69"/>
      <c r="AG163" s="69"/>
      <c r="AH163" s="69"/>
      <c r="AI163" s="69"/>
    </row>
    <row r="164" spans="1:35" ht="31.5" x14ac:dyDescent="0.25">
      <c r="A164" s="387"/>
      <c r="B164" s="114" t="s">
        <v>105</v>
      </c>
      <c r="C164" s="78" t="s">
        <v>258</v>
      </c>
      <c r="D164" s="81"/>
      <c r="E164" s="31"/>
      <c r="F164" s="81"/>
      <c r="G164" s="31"/>
      <c r="H164" s="31">
        <f>100000*96</f>
        <v>9600000</v>
      </c>
      <c r="I164" s="31"/>
      <c r="J164" s="31">
        <f>100000*96</f>
        <v>9600000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212"/>
      <c r="U164" s="186">
        <f t="shared" ref="U164:W167" si="264">E164+H164+K164+N164+Q164</f>
        <v>9600000</v>
      </c>
      <c r="V164" s="186">
        <f t="shared" si="264"/>
        <v>0</v>
      </c>
      <c r="W164" s="235">
        <f t="shared" si="264"/>
        <v>9600000</v>
      </c>
      <c r="X164" s="31">
        <v>0</v>
      </c>
      <c r="Y164" s="31">
        <f t="shared" ref="Y164:Y167" si="265">F164+I164+L164-AB164</f>
        <v>0</v>
      </c>
      <c r="Z164" s="243">
        <v>0</v>
      </c>
      <c r="AA164" s="131"/>
      <c r="AB164" s="131"/>
      <c r="AC164" s="131"/>
      <c r="AD164" s="80"/>
      <c r="AE164" s="80">
        <f t="shared" ref="AE164:AG167" si="266">N164+Q164</f>
        <v>0</v>
      </c>
      <c r="AF164" s="80">
        <f t="shared" si="266"/>
        <v>0</v>
      </c>
      <c r="AG164" s="243">
        <f t="shared" si="266"/>
        <v>0</v>
      </c>
      <c r="AH164" s="80"/>
      <c r="AI164" s="12">
        <f t="shared" ref="AI164:AI167" si="267">W164-Z164-AD164-AG164</f>
        <v>9600000</v>
      </c>
    </row>
    <row r="165" spans="1:35" ht="31.5" x14ac:dyDescent="0.25">
      <c r="A165" s="387"/>
      <c r="B165" s="114" t="s">
        <v>106</v>
      </c>
      <c r="C165" s="78" t="s">
        <v>258</v>
      </c>
      <c r="D165" s="81"/>
      <c r="E165" s="31"/>
      <c r="F165" s="81"/>
      <c r="G165" s="31"/>
      <c r="H165" s="31">
        <f>90000*20</f>
        <v>1800000</v>
      </c>
      <c r="I165" s="31"/>
      <c r="J165" s="31">
        <f>90000*20</f>
        <v>1800000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212"/>
      <c r="U165" s="186">
        <f t="shared" si="264"/>
        <v>1800000</v>
      </c>
      <c r="V165" s="186">
        <f t="shared" si="264"/>
        <v>0</v>
      </c>
      <c r="W165" s="235">
        <f t="shared" si="264"/>
        <v>1800000</v>
      </c>
      <c r="X165" s="31">
        <f t="shared" ref="X165:X167" si="268">E165+H165+K165-AA165</f>
        <v>1800000</v>
      </c>
      <c r="Y165" s="31">
        <f t="shared" si="265"/>
        <v>0</v>
      </c>
      <c r="Z165" s="243">
        <f t="shared" ref="Z165:Z167" si="269">G165+J165+M165-AD165</f>
        <v>1800000</v>
      </c>
      <c r="AA165" s="145"/>
      <c r="AB165" s="145"/>
      <c r="AC165" s="145"/>
      <c r="AD165" s="80"/>
      <c r="AE165" s="80">
        <f t="shared" si="266"/>
        <v>0</v>
      </c>
      <c r="AF165" s="80">
        <f t="shared" si="266"/>
        <v>0</v>
      </c>
      <c r="AG165" s="243">
        <f t="shared" si="266"/>
        <v>0</v>
      </c>
      <c r="AH165" s="80"/>
      <c r="AI165" s="12">
        <f t="shared" si="267"/>
        <v>0</v>
      </c>
    </row>
    <row r="166" spans="1:35" ht="31.5" x14ac:dyDescent="0.25">
      <c r="A166" s="387"/>
      <c r="B166" s="114" t="s">
        <v>107</v>
      </c>
      <c r="C166" s="78" t="s">
        <v>258</v>
      </c>
      <c r="D166" s="81"/>
      <c r="E166" s="31"/>
      <c r="F166" s="81"/>
      <c r="G166" s="31"/>
      <c r="H166" s="31"/>
      <c r="I166" s="31"/>
      <c r="J166" s="31"/>
      <c r="K166" s="31">
        <f>400*500*96/2</f>
        <v>9600000</v>
      </c>
      <c r="L166" s="31"/>
      <c r="M166" s="31">
        <f>400*500*96/2</f>
        <v>9600000</v>
      </c>
      <c r="N166" s="31">
        <f>400*500*96/2</f>
        <v>9600000</v>
      </c>
      <c r="O166" s="31"/>
      <c r="P166" s="31">
        <f>400*500*96/2</f>
        <v>9600000</v>
      </c>
      <c r="Q166" s="31"/>
      <c r="R166" s="31"/>
      <c r="S166" s="31"/>
      <c r="T166" s="212"/>
      <c r="U166" s="186">
        <f t="shared" si="264"/>
        <v>19200000</v>
      </c>
      <c r="V166" s="186">
        <f t="shared" si="264"/>
        <v>0</v>
      </c>
      <c r="W166" s="235">
        <f t="shared" si="264"/>
        <v>19200000</v>
      </c>
      <c r="X166" s="31">
        <f t="shared" si="268"/>
        <v>9600000</v>
      </c>
      <c r="Y166" s="31">
        <f t="shared" si="265"/>
        <v>0</v>
      </c>
      <c r="Z166" s="243">
        <f t="shared" si="269"/>
        <v>9600000</v>
      </c>
      <c r="AA166" s="145"/>
      <c r="AB166" s="145"/>
      <c r="AC166" s="145"/>
      <c r="AD166" s="80"/>
      <c r="AE166" s="80">
        <f t="shared" si="266"/>
        <v>9600000</v>
      </c>
      <c r="AF166" s="80">
        <f t="shared" si="266"/>
        <v>0</v>
      </c>
      <c r="AG166" s="243">
        <f t="shared" si="266"/>
        <v>9600000</v>
      </c>
      <c r="AH166" s="80"/>
      <c r="AI166" s="12">
        <f t="shared" si="267"/>
        <v>0</v>
      </c>
    </row>
    <row r="167" spans="1:35" ht="31.5" x14ac:dyDescent="0.25">
      <c r="A167" s="387"/>
      <c r="B167" s="141" t="s">
        <v>108</v>
      </c>
      <c r="C167" s="78" t="s">
        <v>258</v>
      </c>
      <c r="D167" s="81"/>
      <c r="E167" s="31"/>
      <c r="F167" s="8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212"/>
      <c r="U167" s="186">
        <f t="shared" si="264"/>
        <v>0</v>
      </c>
      <c r="V167" s="186">
        <f t="shared" si="264"/>
        <v>0</v>
      </c>
      <c r="W167" s="235">
        <f t="shared" si="264"/>
        <v>0</v>
      </c>
      <c r="X167" s="31">
        <f t="shared" si="268"/>
        <v>0</v>
      </c>
      <c r="Y167" s="31">
        <f t="shared" si="265"/>
        <v>0</v>
      </c>
      <c r="Z167" s="243">
        <f t="shared" si="269"/>
        <v>0</v>
      </c>
      <c r="AA167" s="131"/>
      <c r="AB167" s="131"/>
      <c r="AC167" s="131"/>
      <c r="AD167" s="80"/>
      <c r="AE167" s="80">
        <f t="shared" si="266"/>
        <v>0</v>
      </c>
      <c r="AF167" s="80">
        <f t="shared" si="266"/>
        <v>0</v>
      </c>
      <c r="AG167" s="243">
        <f t="shared" si="266"/>
        <v>0</v>
      </c>
      <c r="AH167" s="80"/>
      <c r="AI167" s="12">
        <f t="shared" si="267"/>
        <v>0</v>
      </c>
    </row>
    <row r="168" spans="1:35" ht="47.25" x14ac:dyDescent="0.25">
      <c r="A168" s="387"/>
      <c r="B168" s="115" t="s">
        <v>209</v>
      </c>
      <c r="C168" s="49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211"/>
      <c r="U168" s="40"/>
      <c r="V168" s="86"/>
      <c r="W168" s="234"/>
      <c r="X168" s="41"/>
      <c r="Y168" s="71"/>
      <c r="Z168" s="101"/>
      <c r="AA168" s="101"/>
      <c r="AB168" s="101"/>
      <c r="AC168" s="101"/>
      <c r="AD168" s="69"/>
      <c r="AE168" s="101"/>
      <c r="AF168" s="69"/>
      <c r="AG168" s="69"/>
      <c r="AH168" s="69"/>
      <c r="AI168" s="69"/>
    </row>
    <row r="169" spans="1:35" ht="31.5" x14ac:dyDescent="0.25">
      <c r="A169" s="387"/>
      <c r="B169" s="114" t="s">
        <v>109</v>
      </c>
      <c r="C169" s="78" t="s">
        <v>258</v>
      </c>
      <c r="D169" s="31"/>
      <c r="E169" s="31">
        <f>50000*20</f>
        <v>1000000</v>
      </c>
      <c r="F169" s="31"/>
      <c r="G169" s="31">
        <f>50000*20</f>
        <v>1000000</v>
      </c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212"/>
      <c r="U169" s="186">
        <f t="shared" ref="U169:W173" si="270">E169+H169+K169+N169+Q169</f>
        <v>1000000</v>
      </c>
      <c r="V169" s="186">
        <f t="shared" si="270"/>
        <v>0</v>
      </c>
      <c r="W169" s="235">
        <f t="shared" si="270"/>
        <v>1000000</v>
      </c>
      <c r="X169" s="31">
        <f t="shared" ref="X169:Y173" si="271">E169+H169+K169-AA169</f>
        <v>0</v>
      </c>
      <c r="Y169" s="31">
        <f t="shared" si="271"/>
        <v>0</v>
      </c>
      <c r="Z169" s="243">
        <f t="shared" ref="Z169:Z173" si="272">G169+J169+M169-AD169</f>
        <v>0</v>
      </c>
      <c r="AA169" s="31">
        <v>1000000</v>
      </c>
      <c r="AB169" s="131"/>
      <c r="AC169" s="131"/>
      <c r="AD169" s="80">
        <f>U169</f>
        <v>1000000</v>
      </c>
      <c r="AE169" s="80">
        <f t="shared" ref="AE169:AG173" si="273">N169+Q169</f>
        <v>0</v>
      </c>
      <c r="AF169" s="80">
        <f t="shared" si="273"/>
        <v>0</v>
      </c>
      <c r="AG169" s="243">
        <f t="shared" si="273"/>
        <v>0</v>
      </c>
      <c r="AH169" s="80"/>
      <c r="AI169" s="12">
        <f t="shared" ref="AI169:AI173" si="274">W169-Z169-AD169-AG169</f>
        <v>0</v>
      </c>
    </row>
    <row r="170" spans="1:35" ht="47.25" x14ac:dyDescent="0.25">
      <c r="A170" s="387"/>
      <c r="B170" s="114" t="s">
        <v>110</v>
      </c>
      <c r="C170" s="78" t="s">
        <v>258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212"/>
      <c r="U170" s="186">
        <f t="shared" si="270"/>
        <v>0</v>
      </c>
      <c r="V170" s="186">
        <f t="shared" si="270"/>
        <v>0</v>
      </c>
      <c r="W170" s="235">
        <f t="shared" si="270"/>
        <v>0</v>
      </c>
      <c r="X170" s="31">
        <f t="shared" si="271"/>
        <v>0</v>
      </c>
      <c r="Y170" s="31">
        <f t="shared" si="271"/>
        <v>0</v>
      </c>
      <c r="Z170" s="243">
        <f t="shared" si="272"/>
        <v>0</v>
      </c>
      <c r="AA170" s="131"/>
      <c r="AB170" s="131"/>
      <c r="AC170" s="131"/>
      <c r="AD170" s="80"/>
      <c r="AE170" s="80">
        <f t="shared" si="273"/>
        <v>0</v>
      </c>
      <c r="AF170" s="80">
        <f t="shared" si="273"/>
        <v>0</v>
      </c>
      <c r="AG170" s="243">
        <f t="shared" si="273"/>
        <v>0</v>
      </c>
      <c r="AH170" s="80"/>
      <c r="AI170" s="12">
        <f t="shared" si="274"/>
        <v>0</v>
      </c>
    </row>
    <row r="171" spans="1:35" ht="31.5" x14ac:dyDescent="0.25">
      <c r="A171" s="387"/>
      <c r="B171" s="114" t="s">
        <v>111</v>
      </c>
      <c r="C171" s="78" t="s">
        <v>257</v>
      </c>
      <c r="D171" s="31">
        <f>15000*96</f>
        <v>1440000</v>
      </c>
      <c r="E171" s="31"/>
      <c r="F171" s="31"/>
      <c r="G171" s="31"/>
      <c r="H171" s="31"/>
      <c r="I171" s="31"/>
      <c r="J171" s="31"/>
      <c r="K171" s="31"/>
      <c r="L171" s="31">
        <f>$D171*20</f>
        <v>28800000</v>
      </c>
      <c r="M171" s="31">
        <f>$D171*20</f>
        <v>28800000</v>
      </c>
      <c r="N171" s="31"/>
      <c r="O171" s="31">
        <f>$D171*30</f>
        <v>43200000</v>
      </c>
      <c r="P171" s="31">
        <f>$D171*30</f>
        <v>43200000</v>
      </c>
      <c r="Q171" s="31">
        <v>0</v>
      </c>
      <c r="R171" s="31">
        <f>$D171*30</f>
        <v>43200000</v>
      </c>
      <c r="S171" s="31">
        <f>$D171*30</f>
        <v>43200000</v>
      </c>
      <c r="T171" s="212"/>
      <c r="U171" s="186">
        <f t="shared" si="270"/>
        <v>0</v>
      </c>
      <c r="V171" s="186">
        <f t="shared" si="270"/>
        <v>115200000</v>
      </c>
      <c r="W171" s="235">
        <f t="shared" si="270"/>
        <v>115200000</v>
      </c>
      <c r="X171" s="31">
        <f t="shared" si="271"/>
        <v>0</v>
      </c>
      <c r="Y171" s="31">
        <v>0</v>
      </c>
      <c r="Z171" s="243">
        <v>0</v>
      </c>
      <c r="AA171" s="131"/>
      <c r="AB171" s="131"/>
      <c r="AC171" s="131"/>
      <c r="AD171" s="80"/>
      <c r="AE171" s="80">
        <f t="shared" si="273"/>
        <v>0</v>
      </c>
      <c r="AF171" s="80">
        <v>0</v>
      </c>
      <c r="AG171" s="243">
        <v>0</v>
      </c>
      <c r="AH171" s="80"/>
      <c r="AI171" s="12">
        <f t="shared" si="274"/>
        <v>115200000</v>
      </c>
    </row>
    <row r="172" spans="1:35" ht="31.5" x14ac:dyDescent="0.25">
      <c r="A172" s="387"/>
      <c r="B172" s="114" t="s">
        <v>112</v>
      </c>
      <c r="C172" s="78" t="s">
        <v>258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212"/>
      <c r="U172" s="186">
        <f t="shared" si="270"/>
        <v>0</v>
      </c>
      <c r="V172" s="186">
        <f t="shared" si="270"/>
        <v>0</v>
      </c>
      <c r="W172" s="235">
        <f t="shared" si="270"/>
        <v>0</v>
      </c>
      <c r="X172" s="31">
        <f t="shared" si="271"/>
        <v>0</v>
      </c>
      <c r="Y172" s="31">
        <f t="shared" si="271"/>
        <v>0</v>
      </c>
      <c r="Z172" s="243">
        <f t="shared" si="272"/>
        <v>0</v>
      </c>
      <c r="AA172" s="131"/>
      <c r="AB172" s="131"/>
      <c r="AC172" s="131"/>
      <c r="AD172" s="80"/>
      <c r="AE172" s="80">
        <f t="shared" si="273"/>
        <v>0</v>
      </c>
      <c r="AF172" s="80">
        <f t="shared" si="273"/>
        <v>0</v>
      </c>
      <c r="AG172" s="243">
        <f t="shared" si="273"/>
        <v>0</v>
      </c>
      <c r="AH172" s="80"/>
      <c r="AI172" s="12">
        <f t="shared" si="274"/>
        <v>0</v>
      </c>
    </row>
    <row r="173" spans="1:35" ht="78.75" x14ac:dyDescent="0.25">
      <c r="A173" s="387"/>
      <c r="B173" s="114" t="s">
        <v>113</v>
      </c>
      <c r="C173" s="78" t="s">
        <v>258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212"/>
      <c r="U173" s="186">
        <f t="shared" si="270"/>
        <v>0</v>
      </c>
      <c r="V173" s="186">
        <f t="shared" si="270"/>
        <v>0</v>
      </c>
      <c r="W173" s="235">
        <f t="shared" si="270"/>
        <v>0</v>
      </c>
      <c r="X173" s="31">
        <f t="shared" si="271"/>
        <v>0</v>
      </c>
      <c r="Y173" s="31">
        <f t="shared" si="271"/>
        <v>0</v>
      </c>
      <c r="Z173" s="243">
        <f t="shared" si="272"/>
        <v>0</v>
      </c>
      <c r="AA173" s="131"/>
      <c r="AB173" s="131"/>
      <c r="AC173" s="131"/>
      <c r="AD173" s="80"/>
      <c r="AE173" s="80">
        <f t="shared" si="273"/>
        <v>0</v>
      </c>
      <c r="AF173" s="80">
        <f t="shared" si="273"/>
        <v>0</v>
      </c>
      <c r="AG173" s="243">
        <f t="shared" si="273"/>
        <v>0</v>
      </c>
      <c r="AH173" s="80"/>
      <c r="AI173" s="12">
        <f t="shared" si="274"/>
        <v>0</v>
      </c>
    </row>
    <row r="174" spans="1:35" ht="63" x14ac:dyDescent="0.25">
      <c r="A174" s="387"/>
      <c r="B174" s="115" t="s">
        <v>210</v>
      </c>
      <c r="C174" s="49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211"/>
      <c r="U174" s="40"/>
      <c r="V174" s="86"/>
      <c r="W174" s="234"/>
      <c r="X174" s="41"/>
      <c r="Y174" s="71"/>
      <c r="Z174" s="101"/>
      <c r="AA174" s="101"/>
      <c r="AB174" s="101"/>
      <c r="AC174" s="101"/>
      <c r="AD174" s="69"/>
      <c r="AE174" s="101"/>
      <c r="AF174" s="69"/>
      <c r="AG174" s="69"/>
      <c r="AH174" s="69"/>
      <c r="AI174" s="69"/>
    </row>
    <row r="175" spans="1:35" ht="47.25" x14ac:dyDescent="0.25">
      <c r="A175" s="387"/>
      <c r="B175" s="114" t="s">
        <v>161</v>
      </c>
      <c r="C175" s="78" t="s">
        <v>255</v>
      </c>
      <c r="D175" s="81"/>
      <c r="E175" s="31"/>
      <c r="F175" s="8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212"/>
      <c r="U175" s="186">
        <f t="shared" ref="U175:W177" si="275">E175+H175+K175+N175+Q175</f>
        <v>0</v>
      </c>
      <c r="V175" s="186">
        <f t="shared" si="275"/>
        <v>0</v>
      </c>
      <c r="W175" s="235">
        <f t="shared" si="275"/>
        <v>0</v>
      </c>
      <c r="X175" s="31">
        <f t="shared" ref="X175:Y177" si="276">E175+H175+K175-AA175</f>
        <v>0</v>
      </c>
      <c r="Y175" s="31">
        <f t="shared" si="276"/>
        <v>0</v>
      </c>
      <c r="Z175" s="243">
        <f t="shared" ref="Z175:Z177" si="277">G175+J175+M175-AD175</f>
        <v>0</v>
      </c>
      <c r="AA175" s="131"/>
      <c r="AB175" s="131"/>
      <c r="AC175" s="131"/>
      <c r="AD175" s="80"/>
      <c r="AE175" s="80">
        <f t="shared" ref="AE175:AG177" si="278">N175+Q175</f>
        <v>0</v>
      </c>
      <c r="AF175" s="80">
        <f t="shared" si="278"/>
        <v>0</v>
      </c>
      <c r="AG175" s="243">
        <f t="shared" si="278"/>
        <v>0</v>
      </c>
      <c r="AH175" s="80"/>
      <c r="AI175" s="12">
        <f t="shared" ref="AI175:AI177" si="279">W175-Z175-AD175-AG175</f>
        <v>0</v>
      </c>
    </row>
    <row r="176" spans="1:35" ht="31.5" x14ac:dyDescent="0.25">
      <c r="A176" s="387"/>
      <c r="B176" s="114" t="s">
        <v>114</v>
      </c>
      <c r="C176" s="78" t="s">
        <v>258</v>
      </c>
      <c r="D176" s="81"/>
      <c r="E176" s="31"/>
      <c r="F176" s="8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212"/>
      <c r="U176" s="186">
        <f t="shared" si="275"/>
        <v>0</v>
      </c>
      <c r="V176" s="186">
        <f t="shared" si="275"/>
        <v>0</v>
      </c>
      <c r="W176" s="235">
        <f t="shared" si="275"/>
        <v>0</v>
      </c>
      <c r="X176" s="31">
        <f t="shared" si="276"/>
        <v>0</v>
      </c>
      <c r="Y176" s="31">
        <f t="shared" si="276"/>
        <v>0</v>
      </c>
      <c r="Z176" s="243">
        <f t="shared" si="277"/>
        <v>0</v>
      </c>
      <c r="AA176" s="131"/>
      <c r="AB176" s="131"/>
      <c r="AC176" s="131"/>
      <c r="AD176" s="80"/>
      <c r="AE176" s="80">
        <f t="shared" si="278"/>
        <v>0</v>
      </c>
      <c r="AF176" s="80">
        <f t="shared" si="278"/>
        <v>0</v>
      </c>
      <c r="AG176" s="243">
        <f t="shared" si="278"/>
        <v>0</v>
      </c>
      <c r="AH176" s="80"/>
      <c r="AI176" s="12">
        <f t="shared" si="279"/>
        <v>0</v>
      </c>
    </row>
    <row r="177" spans="1:35" ht="31.5" x14ac:dyDescent="0.25">
      <c r="A177" s="387"/>
      <c r="B177" s="114" t="s">
        <v>115</v>
      </c>
      <c r="C177" s="78" t="s">
        <v>258</v>
      </c>
      <c r="D177" s="81"/>
      <c r="E177" s="31"/>
      <c r="F177" s="81"/>
      <c r="G177" s="31"/>
      <c r="H177" s="31">
        <f>5000000</f>
        <v>5000000</v>
      </c>
      <c r="I177" s="31"/>
      <c r="J177" s="31">
        <f>5000000</f>
        <v>5000000</v>
      </c>
      <c r="K177" s="31">
        <v>1000000</v>
      </c>
      <c r="L177" s="31"/>
      <c r="M177" s="31">
        <v>1000000</v>
      </c>
      <c r="N177" s="31"/>
      <c r="O177" s="31"/>
      <c r="P177" s="31"/>
      <c r="Q177" s="31"/>
      <c r="R177" s="31"/>
      <c r="S177" s="31"/>
      <c r="T177" s="212"/>
      <c r="U177" s="186">
        <f t="shared" si="275"/>
        <v>6000000</v>
      </c>
      <c r="V177" s="186">
        <f t="shared" si="275"/>
        <v>0</v>
      </c>
      <c r="W177" s="235">
        <f t="shared" si="275"/>
        <v>6000000</v>
      </c>
      <c r="X177" s="31">
        <f t="shared" si="276"/>
        <v>6000000</v>
      </c>
      <c r="Y177" s="31">
        <f t="shared" si="276"/>
        <v>0</v>
      </c>
      <c r="Z177" s="243">
        <f t="shared" si="277"/>
        <v>6000000</v>
      </c>
      <c r="AA177" s="131"/>
      <c r="AB177" s="131"/>
      <c r="AC177" s="131"/>
      <c r="AD177" s="80"/>
      <c r="AE177" s="80">
        <f t="shared" si="278"/>
        <v>0</v>
      </c>
      <c r="AF177" s="80">
        <f t="shared" si="278"/>
        <v>0</v>
      </c>
      <c r="AG177" s="243">
        <f t="shared" si="278"/>
        <v>0</v>
      </c>
      <c r="AH177" s="80"/>
      <c r="AI177" s="12">
        <f t="shared" si="279"/>
        <v>0</v>
      </c>
    </row>
    <row r="178" spans="1:35" ht="15.75" x14ac:dyDescent="0.25">
      <c r="A178" s="370"/>
      <c r="B178" s="109" t="s">
        <v>133</v>
      </c>
      <c r="C178" s="95"/>
      <c r="D178" s="96"/>
      <c r="E178" s="97">
        <f>SUM(E158:E177)</f>
        <v>1000000</v>
      </c>
      <c r="F178" s="97">
        <f t="shared" ref="F178:AI178" si="280">SUM(F158:F177)</f>
        <v>0</v>
      </c>
      <c r="G178" s="97">
        <f t="shared" si="280"/>
        <v>1000000</v>
      </c>
      <c r="H178" s="97">
        <f t="shared" si="280"/>
        <v>18900000</v>
      </c>
      <c r="I178" s="97">
        <f t="shared" si="280"/>
        <v>0</v>
      </c>
      <c r="J178" s="97">
        <f t="shared" si="280"/>
        <v>18900000</v>
      </c>
      <c r="K178" s="97">
        <f t="shared" si="280"/>
        <v>42600000</v>
      </c>
      <c r="L178" s="97">
        <f t="shared" si="280"/>
        <v>28800000</v>
      </c>
      <c r="M178" s="97">
        <f t="shared" si="280"/>
        <v>71400000</v>
      </c>
      <c r="N178" s="97">
        <f t="shared" si="280"/>
        <v>57600000</v>
      </c>
      <c r="O178" s="97">
        <f t="shared" si="280"/>
        <v>43200000</v>
      </c>
      <c r="P178" s="97">
        <f t="shared" si="280"/>
        <v>100800000</v>
      </c>
      <c r="Q178" s="97">
        <f t="shared" si="280"/>
        <v>80000000</v>
      </c>
      <c r="R178" s="97">
        <f t="shared" si="280"/>
        <v>43200000</v>
      </c>
      <c r="S178" s="97">
        <f t="shared" si="280"/>
        <v>123200000</v>
      </c>
      <c r="T178" s="232">
        <f t="shared" si="280"/>
        <v>0</v>
      </c>
      <c r="U178" s="97">
        <f t="shared" si="280"/>
        <v>200100000</v>
      </c>
      <c r="V178" s="97">
        <f t="shared" si="280"/>
        <v>115200000</v>
      </c>
      <c r="W178" s="232">
        <f t="shared" si="280"/>
        <v>315300000</v>
      </c>
      <c r="X178" s="97">
        <f t="shared" si="280"/>
        <v>17400000</v>
      </c>
      <c r="Y178" s="97">
        <f t="shared" si="280"/>
        <v>0</v>
      </c>
      <c r="Z178" s="97">
        <f t="shared" si="280"/>
        <v>17400000</v>
      </c>
      <c r="AA178" s="97">
        <f t="shared" si="280"/>
        <v>113000000</v>
      </c>
      <c r="AB178" s="97">
        <f t="shared" si="280"/>
        <v>0</v>
      </c>
      <c r="AC178" s="97">
        <f t="shared" si="280"/>
        <v>0</v>
      </c>
      <c r="AD178" s="97">
        <f t="shared" si="280"/>
        <v>113000000</v>
      </c>
      <c r="AE178" s="97">
        <f>SUM(AE158:AE177)</f>
        <v>9600000</v>
      </c>
      <c r="AF178" s="97">
        <f t="shared" si="280"/>
        <v>0</v>
      </c>
      <c r="AG178" s="97">
        <f t="shared" si="280"/>
        <v>9600000</v>
      </c>
      <c r="AH178" s="97"/>
      <c r="AI178" s="97">
        <f t="shared" si="280"/>
        <v>175300000</v>
      </c>
    </row>
    <row r="179" spans="1:35" ht="18.75" x14ac:dyDescent="0.25">
      <c r="A179" s="370"/>
      <c r="B179" s="388" t="s">
        <v>211</v>
      </c>
      <c r="C179" s="380"/>
      <c r="D179" s="380"/>
      <c r="E179" s="380"/>
      <c r="F179" s="380"/>
      <c r="G179" s="380"/>
      <c r="H179" s="380"/>
      <c r="I179" s="380"/>
      <c r="J179" s="380"/>
      <c r="K179" s="380"/>
      <c r="L179" s="380"/>
      <c r="M179" s="380"/>
      <c r="N179" s="380"/>
      <c r="O179" s="380"/>
      <c r="P179" s="380"/>
      <c r="Q179" s="380"/>
      <c r="R179" s="380"/>
      <c r="S179" s="381"/>
      <c r="T179" s="233"/>
      <c r="U179" s="230"/>
      <c r="V179" s="105"/>
      <c r="W179" s="238"/>
      <c r="X179" s="23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</row>
    <row r="180" spans="1:35" ht="63" x14ac:dyDescent="0.25">
      <c r="A180" s="387"/>
      <c r="B180" s="115" t="s">
        <v>212</v>
      </c>
      <c r="C180" s="49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211"/>
      <c r="U180" s="40"/>
      <c r="V180" s="86"/>
      <c r="W180" s="234"/>
      <c r="X180" s="41"/>
      <c r="Y180" s="71"/>
      <c r="Z180" s="101"/>
      <c r="AA180" s="101"/>
      <c r="AB180" s="101"/>
      <c r="AC180" s="101"/>
      <c r="AD180" s="101"/>
      <c r="AE180" s="101"/>
      <c r="AF180" s="69"/>
      <c r="AG180" s="69"/>
      <c r="AH180" s="69"/>
      <c r="AI180" s="69"/>
    </row>
    <row r="181" spans="1:35" ht="31.5" x14ac:dyDescent="0.25">
      <c r="A181" s="387"/>
      <c r="B181" s="114" t="s">
        <v>117</v>
      </c>
      <c r="C181" s="49" t="s">
        <v>271</v>
      </c>
      <c r="D181" s="3"/>
      <c r="E181" s="21">
        <f>1200000</f>
        <v>1200000</v>
      </c>
      <c r="F181" s="3"/>
      <c r="G181" s="21">
        <f>1200000</f>
        <v>1200000</v>
      </c>
      <c r="H181" s="21">
        <f>100000*96</f>
        <v>9600000</v>
      </c>
      <c r="I181" s="21"/>
      <c r="J181" s="21">
        <f>100000*96</f>
        <v>9600000</v>
      </c>
      <c r="K181" s="21"/>
      <c r="L181" s="21"/>
      <c r="M181" s="21"/>
      <c r="N181" s="21"/>
      <c r="O181" s="21"/>
      <c r="P181" s="21"/>
      <c r="Q181" s="21"/>
      <c r="R181" s="21"/>
      <c r="S181" s="21"/>
      <c r="T181" s="212"/>
      <c r="U181" s="186">
        <f t="shared" ref="U181:W186" si="281">E181+H181+K181+N181+Q181</f>
        <v>10800000</v>
      </c>
      <c r="V181" s="186">
        <f t="shared" si="281"/>
        <v>0</v>
      </c>
      <c r="W181" s="235">
        <f t="shared" si="281"/>
        <v>10800000</v>
      </c>
      <c r="X181" s="31">
        <f t="shared" ref="X181:Y186" si="282">E181+H181+K181-AA181</f>
        <v>0</v>
      </c>
      <c r="Y181" s="31">
        <f t="shared" si="282"/>
        <v>0</v>
      </c>
      <c r="Z181" s="243">
        <f t="shared" ref="Z181:Z185" si="283">G181+J181+M181-AD181</f>
        <v>0</v>
      </c>
      <c r="AA181" s="12">
        <v>10800000</v>
      </c>
      <c r="AB181" s="20"/>
      <c r="AC181" s="20"/>
      <c r="AD181" s="12">
        <f>U181</f>
        <v>10800000</v>
      </c>
      <c r="AE181" s="80">
        <f t="shared" ref="AE181:AG186" si="284">N181+Q181</f>
        <v>0</v>
      </c>
      <c r="AF181" s="80">
        <f t="shared" si="284"/>
        <v>0</v>
      </c>
      <c r="AG181" s="243">
        <f t="shared" si="284"/>
        <v>0</v>
      </c>
      <c r="AH181" s="12"/>
      <c r="AI181" s="12">
        <f t="shared" ref="AI181:AI186" si="285">W181-Z181-AD181-AG181</f>
        <v>0</v>
      </c>
    </row>
    <row r="182" spans="1:35" ht="31.5" x14ac:dyDescent="0.25">
      <c r="A182" s="387"/>
      <c r="B182" s="114" t="s">
        <v>118</v>
      </c>
      <c r="C182" s="49" t="s">
        <v>258</v>
      </c>
      <c r="D182" s="3"/>
      <c r="E182" s="21"/>
      <c r="F182" s="3"/>
      <c r="G182" s="21"/>
      <c r="H182" s="21">
        <f>30*50000</f>
        <v>1500000</v>
      </c>
      <c r="I182" s="21"/>
      <c r="J182" s="21">
        <f>30*50000</f>
        <v>1500000</v>
      </c>
      <c r="K182" s="21"/>
      <c r="L182" s="21"/>
      <c r="M182" s="21"/>
      <c r="N182" s="21"/>
      <c r="O182" s="21"/>
      <c r="P182" s="21"/>
      <c r="Q182" s="21"/>
      <c r="R182" s="21"/>
      <c r="S182" s="21"/>
      <c r="T182" s="212"/>
      <c r="U182" s="186">
        <f t="shared" si="281"/>
        <v>1500000</v>
      </c>
      <c r="V182" s="186">
        <f t="shared" si="281"/>
        <v>0</v>
      </c>
      <c r="W182" s="235">
        <f t="shared" si="281"/>
        <v>1500000</v>
      </c>
      <c r="X182" s="31">
        <f t="shared" si="282"/>
        <v>0</v>
      </c>
      <c r="Y182" s="31">
        <f t="shared" si="282"/>
        <v>0</v>
      </c>
      <c r="Z182" s="243">
        <f t="shared" si="283"/>
        <v>0</v>
      </c>
      <c r="AA182" s="12">
        <v>1500000</v>
      </c>
      <c r="AB182" s="20"/>
      <c r="AC182" s="20"/>
      <c r="AD182" s="12">
        <f>U182</f>
        <v>1500000</v>
      </c>
      <c r="AE182" s="80">
        <f t="shared" si="284"/>
        <v>0</v>
      </c>
      <c r="AF182" s="80">
        <f t="shared" si="284"/>
        <v>0</v>
      </c>
      <c r="AG182" s="243">
        <f t="shared" si="284"/>
        <v>0</v>
      </c>
      <c r="AH182" s="12"/>
      <c r="AI182" s="12">
        <f t="shared" si="285"/>
        <v>0</v>
      </c>
    </row>
    <row r="183" spans="1:35" ht="15.75" x14ac:dyDescent="0.25">
      <c r="A183" s="387"/>
      <c r="B183" s="114" t="s">
        <v>119</v>
      </c>
      <c r="C183" s="49" t="s">
        <v>256</v>
      </c>
      <c r="D183" s="3"/>
      <c r="E183" s="21"/>
      <c r="F183" s="3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2"/>
      <c r="U183" s="186">
        <f t="shared" si="281"/>
        <v>0</v>
      </c>
      <c r="V183" s="186">
        <f t="shared" si="281"/>
        <v>0</v>
      </c>
      <c r="W183" s="235">
        <f t="shared" si="281"/>
        <v>0</v>
      </c>
      <c r="X183" s="31">
        <f t="shared" si="282"/>
        <v>0</v>
      </c>
      <c r="Y183" s="31">
        <f t="shared" si="282"/>
        <v>0</v>
      </c>
      <c r="Z183" s="243">
        <f t="shared" si="283"/>
        <v>0</v>
      </c>
      <c r="AA183" s="20"/>
      <c r="AB183" s="20"/>
      <c r="AC183" s="20"/>
      <c r="AD183" s="12"/>
      <c r="AE183" s="80">
        <f t="shared" si="284"/>
        <v>0</v>
      </c>
      <c r="AF183" s="80">
        <f t="shared" si="284"/>
        <v>0</v>
      </c>
      <c r="AG183" s="243">
        <f t="shared" si="284"/>
        <v>0</v>
      </c>
      <c r="AH183" s="12"/>
      <c r="AI183" s="12">
        <f t="shared" si="285"/>
        <v>0</v>
      </c>
    </row>
    <row r="184" spans="1:35" ht="31.5" x14ac:dyDescent="0.25">
      <c r="A184" s="387"/>
      <c r="B184" s="141" t="s">
        <v>120</v>
      </c>
      <c r="C184" s="49" t="s">
        <v>256</v>
      </c>
      <c r="D184" s="31">
        <f>35075000-5000000</f>
        <v>30075000</v>
      </c>
      <c r="E184" s="21"/>
      <c r="F184" s="31"/>
      <c r="G184" s="21"/>
      <c r="H184" s="21">
        <f>$D184*10</f>
        <v>300750000</v>
      </c>
      <c r="I184" s="21"/>
      <c r="J184" s="21">
        <f>$D184*10</f>
        <v>300750000</v>
      </c>
      <c r="K184" s="21">
        <f>$D184*30</f>
        <v>902250000</v>
      </c>
      <c r="L184" s="21"/>
      <c r="M184" s="21">
        <f>$D184*30</f>
        <v>902250000</v>
      </c>
      <c r="N184" s="21">
        <f>$D184*50</f>
        <v>1503750000</v>
      </c>
      <c r="O184" s="21"/>
      <c r="P184" s="21">
        <f>$D184*50</f>
        <v>1503750000</v>
      </c>
      <c r="Q184" s="21">
        <f>$D184*100</f>
        <v>3007500000</v>
      </c>
      <c r="R184" s="21"/>
      <c r="S184" s="21">
        <f>$D184*100</f>
        <v>3007500000</v>
      </c>
      <c r="T184" s="212"/>
      <c r="U184" s="186">
        <f t="shared" si="281"/>
        <v>5714250000</v>
      </c>
      <c r="V184" s="186">
        <f t="shared" si="281"/>
        <v>0</v>
      </c>
      <c r="W184" s="235">
        <f t="shared" si="281"/>
        <v>5714250000</v>
      </c>
      <c r="X184" s="31">
        <v>0</v>
      </c>
      <c r="Y184" s="31">
        <f t="shared" si="282"/>
        <v>0</v>
      </c>
      <c r="Z184" s="243">
        <v>0</v>
      </c>
      <c r="AA184" s="21"/>
      <c r="AB184" s="21"/>
      <c r="AC184" s="21"/>
      <c r="AD184" s="12"/>
      <c r="AE184" s="80">
        <v>0</v>
      </c>
      <c r="AF184" s="80">
        <f t="shared" si="284"/>
        <v>0</v>
      </c>
      <c r="AG184" s="243">
        <v>0</v>
      </c>
      <c r="AH184" s="12"/>
      <c r="AI184" s="12">
        <f t="shared" si="285"/>
        <v>5714250000</v>
      </c>
    </row>
    <row r="185" spans="1:35" ht="31.5" x14ac:dyDescent="0.25">
      <c r="A185" s="387"/>
      <c r="B185" s="141" t="s">
        <v>121</v>
      </c>
      <c r="C185" s="49" t="s">
        <v>272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212"/>
      <c r="U185" s="186">
        <f t="shared" si="281"/>
        <v>0</v>
      </c>
      <c r="V185" s="186">
        <f t="shared" si="281"/>
        <v>0</v>
      </c>
      <c r="W185" s="235">
        <f t="shared" si="281"/>
        <v>0</v>
      </c>
      <c r="X185" s="31">
        <f t="shared" si="282"/>
        <v>0</v>
      </c>
      <c r="Y185" s="31">
        <f t="shared" si="282"/>
        <v>0</v>
      </c>
      <c r="Z185" s="243">
        <f t="shared" si="283"/>
        <v>0</v>
      </c>
      <c r="AA185" s="19"/>
      <c r="AB185" s="19"/>
      <c r="AC185" s="19"/>
      <c r="AD185" s="12">
        <f t="shared" si="259"/>
        <v>0</v>
      </c>
      <c r="AE185" s="80">
        <f t="shared" si="284"/>
        <v>0</v>
      </c>
      <c r="AF185" s="80">
        <f t="shared" si="284"/>
        <v>0</v>
      </c>
      <c r="AG185" s="243">
        <f t="shared" si="284"/>
        <v>0</v>
      </c>
      <c r="AH185" s="12"/>
      <c r="AI185" s="12">
        <f t="shared" si="285"/>
        <v>0</v>
      </c>
    </row>
    <row r="186" spans="1:35" ht="31.5" x14ac:dyDescent="0.25">
      <c r="A186" s="387"/>
      <c r="B186" s="141" t="s">
        <v>122</v>
      </c>
      <c r="C186" s="49" t="s">
        <v>256</v>
      </c>
      <c r="D186" s="31">
        <v>5000000</v>
      </c>
      <c r="F186" s="21">
        <f>$D186*10</f>
        <v>50000000</v>
      </c>
      <c r="G186" s="21">
        <f>$D186*10</f>
        <v>50000000</v>
      </c>
      <c r="I186" s="21">
        <f>$D186*30</f>
        <v>150000000</v>
      </c>
      <c r="J186" s="21">
        <f>$D186*30</f>
        <v>150000000</v>
      </c>
      <c r="L186" s="21">
        <f>$D186*50</f>
        <v>250000000</v>
      </c>
      <c r="M186" s="21">
        <f>$D186*50</f>
        <v>250000000</v>
      </c>
      <c r="O186" s="21">
        <f>$D186*100</f>
        <v>500000000</v>
      </c>
      <c r="P186" s="21">
        <f>$D186*100</f>
        <v>500000000</v>
      </c>
      <c r="Q186" s="3"/>
      <c r="R186" s="21"/>
      <c r="S186" s="3"/>
      <c r="T186" s="212"/>
      <c r="U186" s="186">
        <f t="shared" si="281"/>
        <v>0</v>
      </c>
      <c r="V186" s="186">
        <f t="shared" si="281"/>
        <v>950000000</v>
      </c>
      <c r="W186" s="235">
        <f t="shared" si="281"/>
        <v>950000000</v>
      </c>
      <c r="X186" s="31">
        <f t="shared" si="282"/>
        <v>0</v>
      </c>
      <c r="Y186" s="31">
        <v>0</v>
      </c>
      <c r="Z186" s="243">
        <v>0</v>
      </c>
      <c r="AA186" s="19"/>
      <c r="AB186" s="19"/>
      <c r="AC186" s="19"/>
      <c r="AD186" s="12"/>
      <c r="AE186" s="80">
        <f t="shared" si="284"/>
        <v>0</v>
      </c>
      <c r="AF186" s="80">
        <v>0</v>
      </c>
      <c r="AG186" s="243">
        <v>0</v>
      </c>
      <c r="AH186" s="12"/>
      <c r="AI186" s="12">
        <f t="shared" si="285"/>
        <v>950000000</v>
      </c>
    </row>
    <row r="187" spans="1:35" ht="31.5" x14ac:dyDescent="0.25">
      <c r="A187" s="387"/>
      <c r="B187" s="115" t="s">
        <v>213</v>
      </c>
      <c r="C187" s="49"/>
      <c r="D187" s="86"/>
      <c r="E187" s="68"/>
      <c r="F187" s="86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211"/>
      <c r="U187" s="40"/>
      <c r="V187" s="86"/>
      <c r="W187" s="234"/>
      <c r="X187" s="41"/>
      <c r="Y187" s="71"/>
      <c r="Z187" s="71"/>
      <c r="AA187" s="71"/>
      <c r="AB187" s="71"/>
      <c r="AC187" s="71"/>
      <c r="AD187" s="69"/>
      <c r="AE187" s="71"/>
      <c r="AF187" s="69"/>
      <c r="AG187" s="69"/>
      <c r="AH187" s="69"/>
      <c r="AI187" s="69"/>
    </row>
    <row r="188" spans="1:35" ht="31.5" x14ac:dyDescent="0.25">
      <c r="A188" s="387"/>
      <c r="B188" s="114" t="s">
        <v>123</v>
      </c>
      <c r="C188" s="49" t="s">
        <v>259</v>
      </c>
      <c r="D188" s="3"/>
      <c r="E188" s="21"/>
      <c r="F188" s="3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2"/>
      <c r="U188" s="186">
        <f t="shared" ref="U188:W189" si="286">E188+H188+K188+N188+Q188</f>
        <v>0</v>
      </c>
      <c r="V188" s="186">
        <f t="shared" si="286"/>
        <v>0</v>
      </c>
      <c r="W188" s="235">
        <f t="shared" si="286"/>
        <v>0</v>
      </c>
      <c r="X188" s="31">
        <f t="shared" ref="X188:Y189" si="287">E188+H188+K188-AA188</f>
        <v>0</v>
      </c>
      <c r="Y188" s="31">
        <f t="shared" si="287"/>
        <v>0</v>
      </c>
      <c r="Z188" s="243">
        <f t="shared" ref="Z188:Z189" si="288">G188+J188+M188-AD188</f>
        <v>0</v>
      </c>
      <c r="AA188" s="19"/>
      <c r="AB188" s="19"/>
      <c r="AC188" s="19"/>
      <c r="AD188" s="12">
        <f t="shared" si="259"/>
        <v>0</v>
      </c>
      <c r="AE188" s="80">
        <f t="shared" ref="AE188:AG189" si="289">N188+Q188</f>
        <v>0</v>
      </c>
      <c r="AF188" s="80">
        <f t="shared" si="289"/>
        <v>0</v>
      </c>
      <c r="AG188" s="243">
        <f t="shared" si="289"/>
        <v>0</v>
      </c>
      <c r="AH188" s="12"/>
      <c r="AI188" s="12">
        <f t="shared" ref="AI188:AI189" si="290">W188-Z188-AD188-AG188</f>
        <v>0</v>
      </c>
    </row>
    <row r="189" spans="1:35" ht="31.5" x14ac:dyDescent="0.25">
      <c r="A189" s="387"/>
      <c r="B189" s="114" t="s">
        <v>124</v>
      </c>
      <c r="C189" s="49" t="s">
        <v>256</v>
      </c>
      <c r="D189" s="3"/>
      <c r="E189" s="21">
        <f>100*20000</f>
        <v>2000000</v>
      </c>
      <c r="F189" s="3"/>
      <c r="G189" s="21">
        <f>100*20000</f>
        <v>2000000</v>
      </c>
      <c r="H189" s="21">
        <f t="shared" ref="H189:S189" si="291">100*20000</f>
        <v>2000000</v>
      </c>
      <c r="I189" s="21"/>
      <c r="J189" s="21">
        <f t="shared" si="291"/>
        <v>2000000</v>
      </c>
      <c r="K189" s="21">
        <f t="shared" si="291"/>
        <v>2000000</v>
      </c>
      <c r="L189" s="21"/>
      <c r="M189" s="21">
        <f t="shared" si="291"/>
        <v>2000000</v>
      </c>
      <c r="N189" s="21">
        <f t="shared" si="291"/>
        <v>2000000</v>
      </c>
      <c r="O189" s="21"/>
      <c r="P189" s="21">
        <f t="shared" si="291"/>
        <v>2000000</v>
      </c>
      <c r="Q189" s="21">
        <f t="shared" si="291"/>
        <v>2000000</v>
      </c>
      <c r="R189" s="21"/>
      <c r="S189" s="21">
        <f t="shared" si="291"/>
        <v>2000000</v>
      </c>
      <c r="T189" s="212"/>
      <c r="U189" s="186">
        <f t="shared" si="286"/>
        <v>10000000</v>
      </c>
      <c r="V189" s="186">
        <f t="shared" si="286"/>
        <v>0</v>
      </c>
      <c r="W189" s="235">
        <f t="shared" si="286"/>
        <v>10000000</v>
      </c>
      <c r="X189" s="31">
        <f t="shared" si="287"/>
        <v>6000000</v>
      </c>
      <c r="Y189" s="31">
        <f t="shared" si="287"/>
        <v>0</v>
      </c>
      <c r="Z189" s="243">
        <f t="shared" si="288"/>
        <v>6000000</v>
      </c>
      <c r="AA189" s="21"/>
      <c r="AB189" s="21"/>
      <c r="AC189" s="21"/>
      <c r="AD189" s="12">
        <f t="shared" si="259"/>
        <v>0</v>
      </c>
      <c r="AE189" s="80">
        <f t="shared" si="289"/>
        <v>4000000</v>
      </c>
      <c r="AF189" s="80">
        <f t="shared" si="289"/>
        <v>0</v>
      </c>
      <c r="AG189" s="243">
        <f t="shared" si="289"/>
        <v>4000000</v>
      </c>
      <c r="AH189" s="12"/>
      <c r="AI189" s="12">
        <f t="shared" si="290"/>
        <v>0</v>
      </c>
    </row>
    <row r="190" spans="1:35" ht="31.5" x14ac:dyDescent="0.25">
      <c r="A190" s="77"/>
      <c r="B190" s="115" t="s">
        <v>214</v>
      </c>
      <c r="C190" s="49"/>
      <c r="D190" s="86"/>
      <c r="E190" s="68"/>
      <c r="F190" s="86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211"/>
      <c r="U190" s="40"/>
      <c r="V190" s="86"/>
      <c r="W190" s="234"/>
      <c r="X190" s="41"/>
      <c r="Y190" s="71"/>
      <c r="Z190" s="71"/>
      <c r="AA190" s="71"/>
      <c r="AB190" s="71"/>
      <c r="AC190" s="71"/>
      <c r="AD190" s="71"/>
      <c r="AE190" s="71"/>
      <c r="AF190" s="69"/>
      <c r="AG190" s="69"/>
      <c r="AH190" s="69"/>
      <c r="AI190" s="69"/>
    </row>
    <row r="191" spans="1:35" ht="31.5" x14ac:dyDescent="0.25">
      <c r="A191" s="77"/>
      <c r="B191" s="114" t="s">
        <v>125</v>
      </c>
      <c r="C191" s="49" t="s">
        <v>256</v>
      </c>
      <c r="D191" s="3"/>
      <c r="E191" s="21">
        <f>1000*1000</f>
        <v>1000000</v>
      </c>
      <c r="F191" s="3"/>
      <c r="G191" s="21">
        <f>1000*1000</f>
        <v>1000000</v>
      </c>
      <c r="H191" s="21">
        <f>1000*1000</f>
        <v>1000000</v>
      </c>
      <c r="I191" s="21"/>
      <c r="J191" s="21">
        <f>1000*1000</f>
        <v>1000000</v>
      </c>
      <c r="K191" s="21"/>
      <c r="L191" s="21"/>
      <c r="M191" s="21"/>
      <c r="N191" s="21"/>
      <c r="O191" s="21"/>
      <c r="P191" s="21"/>
      <c r="Q191" s="21"/>
      <c r="R191" s="21"/>
      <c r="S191" s="21"/>
      <c r="T191" s="212"/>
      <c r="U191" s="186">
        <f t="shared" ref="U191:W194" si="292">E191+H191+K191+N191+Q191</f>
        <v>2000000</v>
      </c>
      <c r="V191" s="186">
        <f t="shared" si="292"/>
        <v>0</v>
      </c>
      <c r="W191" s="235">
        <f t="shared" si="292"/>
        <v>2000000</v>
      </c>
      <c r="X191" s="31">
        <f t="shared" ref="X191:Y194" si="293">E191+H191+K191-AA191</f>
        <v>2000000</v>
      </c>
      <c r="Y191" s="31">
        <f t="shared" si="293"/>
        <v>0</v>
      </c>
      <c r="Z191" s="243">
        <f t="shared" ref="Z191:Z194" si="294">G191+J191+M191-AD191</f>
        <v>2000000</v>
      </c>
      <c r="AA191" s="21"/>
      <c r="AB191" s="21"/>
      <c r="AC191" s="21"/>
      <c r="AD191" s="20"/>
      <c r="AE191" s="80">
        <f t="shared" ref="AE191:AG194" si="295">N191+Q191</f>
        <v>0</v>
      </c>
      <c r="AF191" s="80">
        <f t="shared" si="295"/>
        <v>0</v>
      </c>
      <c r="AG191" s="243">
        <f t="shared" si="295"/>
        <v>0</v>
      </c>
      <c r="AH191" s="12"/>
      <c r="AI191" s="12">
        <f t="shared" ref="AI191:AI194" si="296">W191-Z191-AD191-AG191</f>
        <v>0</v>
      </c>
    </row>
    <row r="192" spans="1:35" ht="31.5" x14ac:dyDescent="0.25">
      <c r="A192" s="77"/>
      <c r="B192" s="114" t="s">
        <v>126</v>
      </c>
      <c r="C192" s="49" t="s">
        <v>256</v>
      </c>
      <c r="D192" s="3"/>
      <c r="E192" s="21">
        <f>100*20000</f>
        <v>2000000</v>
      </c>
      <c r="F192" s="3"/>
      <c r="G192" s="21">
        <f>100*20000</f>
        <v>2000000</v>
      </c>
      <c r="H192" s="21">
        <f t="shared" ref="H192:S192" si="297">100*20000</f>
        <v>2000000</v>
      </c>
      <c r="I192" s="21"/>
      <c r="J192" s="21">
        <f t="shared" si="297"/>
        <v>2000000</v>
      </c>
      <c r="K192" s="21">
        <f t="shared" si="297"/>
        <v>2000000</v>
      </c>
      <c r="L192" s="21"/>
      <c r="M192" s="21">
        <f t="shared" si="297"/>
        <v>2000000</v>
      </c>
      <c r="N192" s="21">
        <f t="shared" si="297"/>
        <v>2000000</v>
      </c>
      <c r="O192" s="21"/>
      <c r="P192" s="21">
        <f t="shared" si="297"/>
        <v>2000000</v>
      </c>
      <c r="Q192" s="21">
        <f t="shared" si="297"/>
        <v>2000000</v>
      </c>
      <c r="R192" s="21"/>
      <c r="S192" s="21">
        <f t="shared" si="297"/>
        <v>2000000</v>
      </c>
      <c r="T192" s="212"/>
      <c r="U192" s="186">
        <f t="shared" si="292"/>
        <v>10000000</v>
      </c>
      <c r="V192" s="186">
        <f t="shared" si="292"/>
        <v>0</v>
      </c>
      <c r="W192" s="235">
        <f t="shared" si="292"/>
        <v>10000000</v>
      </c>
      <c r="X192" s="31">
        <f t="shared" si="293"/>
        <v>6000000</v>
      </c>
      <c r="Y192" s="31">
        <f t="shared" si="293"/>
        <v>0</v>
      </c>
      <c r="Z192" s="243">
        <f t="shared" si="294"/>
        <v>6000000</v>
      </c>
      <c r="AA192" s="21"/>
      <c r="AB192" s="21"/>
      <c r="AC192" s="21"/>
      <c r="AD192" s="20"/>
      <c r="AE192" s="80">
        <f t="shared" si="295"/>
        <v>4000000</v>
      </c>
      <c r="AF192" s="80">
        <f t="shared" si="295"/>
        <v>0</v>
      </c>
      <c r="AG192" s="243">
        <f t="shared" si="295"/>
        <v>4000000</v>
      </c>
      <c r="AH192" s="12"/>
      <c r="AI192" s="12">
        <f t="shared" si="296"/>
        <v>0</v>
      </c>
    </row>
    <row r="193" spans="1:35" ht="31.5" x14ac:dyDescent="0.25">
      <c r="A193" s="77"/>
      <c r="B193" s="114" t="s">
        <v>127</v>
      </c>
      <c r="C193" s="49" t="s">
        <v>256</v>
      </c>
      <c r="D193" s="3"/>
      <c r="E193" s="21"/>
      <c r="F193" s="3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2"/>
      <c r="U193" s="186">
        <f t="shared" si="292"/>
        <v>0</v>
      </c>
      <c r="V193" s="186">
        <f t="shared" si="292"/>
        <v>0</v>
      </c>
      <c r="W193" s="235">
        <f t="shared" si="292"/>
        <v>0</v>
      </c>
      <c r="X193" s="31">
        <f t="shared" si="293"/>
        <v>0</v>
      </c>
      <c r="Y193" s="31">
        <f t="shared" si="293"/>
        <v>0</v>
      </c>
      <c r="Z193" s="243">
        <f t="shared" si="294"/>
        <v>0</v>
      </c>
      <c r="AA193" s="21"/>
      <c r="AB193" s="21"/>
      <c r="AC193" s="21"/>
      <c r="AD193" s="20"/>
      <c r="AE193" s="80">
        <f t="shared" si="295"/>
        <v>0</v>
      </c>
      <c r="AF193" s="80">
        <f t="shared" si="295"/>
        <v>0</v>
      </c>
      <c r="AG193" s="243">
        <f t="shared" si="295"/>
        <v>0</v>
      </c>
      <c r="AH193" s="12"/>
      <c r="AI193" s="12">
        <f t="shared" si="296"/>
        <v>0</v>
      </c>
    </row>
    <row r="194" spans="1:35" ht="31.5" x14ac:dyDescent="0.25">
      <c r="A194" s="77"/>
      <c r="B194" s="114" t="s">
        <v>128</v>
      </c>
      <c r="C194" s="49" t="s">
        <v>259</v>
      </c>
      <c r="D194" s="3"/>
      <c r="E194" s="21"/>
      <c r="F194" s="3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2"/>
      <c r="U194" s="186">
        <f t="shared" si="292"/>
        <v>0</v>
      </c>
      <c r="V194" s="186">
        <f t="shared" si="292"/>
        <v>0</v>
      </c>
      <c r="W194" s="235">
        <f t="shared" si="292"/>
        <v>0</v>
      </c>
      <c r="X194" s="31">
        <f t="shared" si="293"/>
        <v>0</v>
      </c>
      <c r="Y194" s="31">
        <f t="shared" si="293"/>
        <v>0</v>
      </c>
      <c r="Z194" s="243">
        <f t="shared" si="294"/>
        <v>0</v>
      </c>
      <c r="AA194" s="21"/>
      <c r="AB194" s="21"/>
      <c r="AC194" s="21"/>
      <c r="AD194" s="20"/>
      <c r="AE194" s="80">
        <f t="shared" si="295"/>
        <v>0</v>
      </c>
      <c r="AF194" s="80">
        <f t="shared" si="295"/>
        <v>0</v>
      </c>
      <c r="AG194" s="243">
        <f t="shared" si="295"/>
        <v>0</v>
      </c>
      <c r="AH194" s="12"/>
      <c r="AI194" s="12">
        <f t="shared" si="296"/>
        <v>0</v>
      </c>
    </row>
    <row r="195" spans="1:35" ht="47.25" x14ac:dyDescent="0.25">
      <c r="A195" s="77"/>
      <c r="B195" s="115" t="s">
        <v>215</v>
      </c>
      <c r="C195" s="49"/>
      <c r="D195" s="86"/>
      <c r="E195" s="68"/>
      <c r="F195" s="86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211"/>
      <c r="U195" s="40"/>
      <c r="V195" s="86"/>
      <c r="W195" s="234"/>
      <c r="X195" s="41"/>
      <c r="Y195" s="71"/>
      <c r="Z195" s="71"/>
      <c r="AA195" s="71"/>
      <c r="AB195" s="71"/>
      <c r="AC195" s="71"/>
      <c r="AD195" s="71"/>
      <c r="AE195" s="71"/>
      <c r="AF195" s="69"/>
      <c r="AG195" s="69"/>
      <c r="AH195" s="69"/>
      <c r="AI195" s="69"/>
    </row>
    <row r="196" spans="1:35" ht="31.5" x14ac:dyDescent="0.25">
      <c r="A196" s="77"/>
      <c r="B196" s="114" t="s">
        <v>129</v>
      </c>
      <c r="C196" s="49" t="s">
        <v>256</v>
      </c>
      <c r="D196" s="3"/>
      <c r="E196" s="21"/>
      <c r="F196" s="3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2"/>
      <c r="U196" s="186">
        <f t="shared" ref="U196:W199" si="298">E196+H196+K196+N196+Q196</f>
        <v>0</v>
      </c>
      <c r="V196" s="186">
        <f t="shared" si="298"/>
        <v>0</v>
      </c>
      <c r="W196" s="235">
        <f t="shared" si="298"/>
        <v>0</v>
      </c>
      <c r="X196" s="31">
        <f t="shared" ref="X196:Y199" si="299">E196+H196+K196-AA196</f>
        <v>0</v>
      </c>
      <c r="Y196" s="31">
        <f t="shared" si="299"/>
        <v>0</v>
      </c>
      <c r="Z196" s="243">
        <f t="shared" ref="Z196:Z199" si="300">G196+J196+M196-AD196</f>
        <v>0</v>
      </c>
      <c r="AA196" s="19"/>
      <c r="AB196" s="19"/>
      <c r="AC196" s="19"/>
      <c r="AD196" s="20"/>
      <c r="AE196" s="80">
        <f t="shared" ref="AE196:AG199" si="301">N196+Q196</f>
        <v>0</v>
      </c>
      <c r="AF196" s="80">
        <f t="shared" si="301"/>
        <v>0</v>
      </c>
      <c r="AG196" s="243">
        <f t="shared" si="301"/>
        <v>0</v>
      </c>
      <c r="AH196" s="12"/>
      <c r="AI196" s="12">
        <f t="shared" ref="AI196:AI199" si="302">W196-Z196-AD196-AG196</f>
        <v>0</v>
      </c>
    </row>
    <row r="197" spans="1:35" ht="31.5" x14ac:dyDescent="0.25">
      <c r="A197" s="77"/>
      <c r="B197" s="114" t="s">
        <v>130</v>
      </c>
      <c r="C197" s="49" t="s">
        <v>259</v>
      </c>
      <c r="D197" s="3"/>
      <c r="E197" s="21"/>
      <c r="F197" s="3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2"/>
      <c r="U197" s="186">
        <f t="shared" si="298"/>
        <v>0</v>
      </c>
      <c r="V197" s="186">
        <f t="shared" si="298"/>
        <v>0</v>
      </c>
      <c r="W197" s="235">
        <f t="shared" si="298"/>
        <v>0</v>
      </c>
      <c r="X197" s="31">
        <f t="shared" si="299"/>
        <v>0</v>
      </c>
      <c r="Y197" s="31">
        <f t="shared" si="299"/>
        <v>0</v>
      </c>
      <c r="Z197" s="243">
        <f t="shared" si="300"/>
        <v>0</v>
      </c>
      <c r="AA197" s="19"/>
      <c r="AB197" s="19"/>
      <c r="AC197" s="19"/>
      <c r="AD197" s="20"/>
      <c r="AE197" s="80">
        <f t="shared" si="301"/>
        <v>0</v>
      </c>
      <c r="AF197" s="80">
        <f t="shared" si="301"/>
        <v>0</v>
      </c>
      <c r="AG197" s="243">
        <f t="shared" si="301"/>
        <v>0</v>
      </c>
      <c r="AH197" s="12"/>
      <c r="AI197" s="12">
        <f t="shared" si="302"/>
        <v>0</v>
      </c>
    </row>
    <row r="198" spans="1:35" ht="31.5" x14ac:dyDescent="0.25">
      <c r="A198" s="77"/>
      <c r="B198" s="114" t="s">
        <v>131</v>
      </c>
      <c r="C198" s="49" t="s">
        <v>258</v>
      </c>
      <c r="D198" s="3"/>
      <c r="E198" s="21"/>
      <c r="F198" s="3"/>
      <c r="G198" s="21"/>
      <c r="H198" s="21">
        <v>2000000</v>
      </c>
      <c r="I198" s="21"/>
      <c r="J198" s="21">
        <v>2000000</v>
      </c>
      <c r="K198" s="21">
        <v>3000000</v>
      </c>
      <c r="L198" s="21"/>
      <c r="M198" s="21">
        <v>3000000</v>
      </c>
      <c r="N198" s="21"/>
      <c r="O198" s="21"/>
      <c r="P198" s="21"/>
      <c r="Q198" s="21"/>
      <c r="R198" s="21"/>
      <c r="S198" s="21"/>
      <c r="T198" s="212"/>
      <c r="U198" s="186">
        <f t="shared" si="298"/>
        <v>5000000</v>
      </c>
      <c r="V198" s="186">
        <f t="shared" si="298"/>
        <v>0</v>
      </c>
      <c r="W198" s="235">
        <f t="shared" si="298"/>
        <v>5000000</v>
      </c>
      <c r="X198" s="31">
        <v>0</v>
      </c>
      <c r="Y198" s="31">
        <f t="shared" si="299"/>
        <v>0</v>
      </c>
      <c r="Z198" s="243">
        <v>0</v>
      </c>
      <c r="AA198" s="19"/>
      <c r="AB198" s="19"/>
      <c r="AC198" s="19"/>
      <c r="AD198" s="20"/>
      <c r="AE198" s="80">
        <f t="shared" si="301"/>
        <v>0</v>
      </c>
      <c r="AF198" s="80">
        <f t="shared" si="301"/>
        <v>0</v>
      </c>
      <c r="AG198" s="243">
        <f t="shared" si="301"/>
        <v>0</v>
      </c>
      <c r="AH198" s="12"/>
      <c r="AI198" s="12">
        <f t="shared" si="302"/>
        <v>5000000</v>
      </c>
    </row>
    <row r="199" spans="1:35" ht="31.5" x14ac:dyDescent="0.25">
      <c r="A199" s="77"/>
      <c r="B199" s="114" t="s">
        <v>132</v>
      </c>
      <c r="C199" s="49" t="s">
        <v>256</v>
      </c>
      <c r="D199" s="3"/>
      <c r="E199" s="21"/>
      <c r="F199" s="3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2"/>
      <c r="U199" s="186">
        <f t="shared" si="298"/>
        <v>0</v>
      </c>
      <c r="V199" s="186">
        <f t="shared" si="298"/>
        <v>0</v>
      </c>
      <c r="W199" s="235">
        <f t="shared" si="298"/>
        <v>0</v>
      </c>
      <c r="X199" s="31">
        <f t="shared" si="299"/>
        <v>0</v>
      </c>
      <c r="Y199" s="31">
        <f t="shared" si="299"/>
        <v>0</v>
      </c>
      <c r="Z199" s="243">
        <f t="shared" si="300"/>
        <v>0</v>
      </c>
      <c r="AA199" s="19"/>
      <c r="AB199" s="19"/>
      <c r="AC199" s="19"/>
      <c r="AD199" s="20"/>
      <c r="AE199" s="80">
        <f t="shared" si="301"/>
        <v>0</v>
      </c>
      <c r="AF199" s="80">
        <f t="shared" si="301"/>
        <v>0</v>
      </c>
      <c r="AG199" s="243">
        <f t="shared" si="301"/>
        <v>0</v>
      </c>
      <c r="AH199" s="12"/>
      <c r="AI199" s="12">
        <f t="shared" si="302"/>
        <v>0</v>
      </c>
    </row>
    <row r="200" spans="1:35" ht="15.75" x14ac:dyDescent="0.25">
      <c r="A200" s="77"/>
      <c r="B200" s="107" t="s">
        <v>134</v>
      </c>
      <c r="C200" s="108"/>
      <c r="D200" s="82"/>
      <c r="E200" s="100">
        <f t="shared" ref="E200:AI200" si="303">SUM(E181:E199)</f>
        <v>6200000</v>
      </c>
      <c r="F200" s="100">
        <f t="shared" si="303"/>
        <v>50000000</v>
      </c>
      <c r="G200" s="100">
        <f t="shared" si="303"/>
        <v>56200000</v>
      </c>
      <c r="H200" s="100">
        <f t="shared" si="303"/>
        <v>318850000</v>
      </c>
      <c r="I200" s="100">
        <f t="shared" si="303"/>
        <v>150000000</v>
      </c>
      <c r="J200" s="100">
        <f t="shared" si="303"/>
        <v>468850000</v>
      </c>
      <c r="K200" s="100">
        <f t="shared" si="303"/>
        <v>909250000</v>
      </c>
      <c r="L200" s="100">
        <f t="shared" si="303"/>
        <v>250000000</v>
      </c>
      <c r="M200" s="100">
        <f t="shared" si="303"/>
        <v>1159250000</v>
      </c>
      <c r="N200" s="100">
        <f t="shared" si="303"/>
        <v>1507750000</v>
      </c>
      <c r="O200" s="100">
        <f t="shared" si="303"/>
        <v>500000000</v>
      </c>
      <c r="P200" s="100">
        <f t="shared" si="303"/>
        <v>2007750000</v>
      </c>
      <c r="Q200" s="100">
        <f t="shared" si="303"/>
        <v>3011500000</v>
      </c>
      <c r="R200" s="100">
        <f t="shared" si="303"/>
        <v>0</v>
      </c>
      <c r="S200" s="100">
        <f t="shared" si="303"/>
        <v>3011500000</v>
      </c>
      <c r="T200" s="226"/>
      <c r="U200" s="100">
        <f>SUM(U181:U199)</f>
        <v>5753550000</v>
      </c>
      <c r="V200" s="100">
        <f t="shared" si="303"/>
        <v>950000000</v>
      </c>
      <c r="W200" s="226">
        <f t="shared" si="303"/>
        <v>6703550000</v>
      </c>
      <c r="X200" s="100">
        <f t="shared" si="303"/>
        <v>14000000</v>
      </c>
      <c r="Y200" s="100">
        <f t="shared" si="303"/>
        <v>0</v>
      </c>
      <c r="Z200" s="100">
        <f t="shared" si="303"/>
        <v>14000000</v>
      </c>
      <c r="AA200" s="100">
        <f t="shared" si="303"/>
        <v>12300000</v>
      </c>
      <c r="AB200" s="100">
        <f t="shared" si="303"/>
        <v>0</v>
      </c>
      <c r="AC200" s="100">
        <f t="shared" si="303"/>
        <v>0</v>
      </c>
      <c r="AD200" s="100">
        <f t="shared" si="303"/>
        <v>12300000</v>
      </c>
      <c r="AE200" s="100">
        <f t="shared" si="303"/>
        <v>8000000</v>
      </c>
      <c r="AF200" s="100">
        <f t="shared" si="303"/>
        <v>0</v>
      </c>
      <c r="AG200" s="100">
        <f t="shared" si="303"/>
        <v>8000000</v>
      </c>
      <c r="AH200" s="100"/>
      <c r="AI200" s="100">
        <f t="shared" si="303"/>
        <v>6669250000</v>
      </c>
    </row>
    <row r="201" spans="1:35" ht="15.75" x14ac:dyDescent="0.25">
      <c r="A201" s="52"/>
      <c r="B201" s="15" t="s">
        <v>135</v>
      </c>
      <c r="C201" s="16"/>
      <c r="D201" s="17"/>
      <c r="E201" s="18">
        <f t="shared" ref="E201:AI201" si="304">E178+E200</f>
        <v>7200000</v>
      </c>
      <c r="F201" s="18">
        <f t="shared" si="304"/>
        <v>50000000</v>
      </c>
      <c r="G201" s="18">
        <f t="shared" si="304"/>
        <v>57200000</v>
      </c>
      <c r="H201" s="18">
        <f t="shared" si="304"/>
        <v>337750000</v>
      </c>
      <c r="I201" s="18">
        <f t="shared" si="304"/>
        <v>150000000</v>
      </c>
      <c r="J201" s="18">
        <f t="shared" si="304"/>
        <v>487750000</v>
      </c>
      <c r="K201" s="18">
        <f t="shared" si="304"/>
        <v>951850000</v>
      </c>
      <c r="L201" s="18">
        <f t="shared" si="304"/>
        <v>278800000</v>
      </c>
      <c r="M201" s="18">
        <f t="shared" si="304"/>
        <v>1230650000</v>
      </c>
      <c r="N201" s="18">
        <f t="shared" si="304"/>
        <v>1565350000</v>
      </c>
      <c r="O201" s="18">
        <f t="shared" si="304"/>
        <v>543200000</v>
      </c>
      <c r="P201" s="18">
        <f t="shared" si="304"/>
        <v>2108550000</v>
      </c>
      <c r="Q201" s="18">
        <f t="shared" si="304"/>
        <v>3091500000</v>
      </c>
      <c r="R201" s="18">
        <f t="shared" si="304"/>
        <v>43200000</v>
      </c>
      <c r="S201" s="18">
        <f t="shared" si="304"/>
        <v>3134700000</v>
      </c>
      <c r="T201" s="215"/>
      <c r="U201" s="18">
        <f t="shared" si="304"/>
        <v>5953650000</v>
      </c>
      <c r="V201" s="18">
        <f t="shared" si="304"/>
        <v>1065200000</v>
      </c>
      <c r="W201" s="215">
        <f t="shared" si="304"/>
        <v>7018850000</v>
      </c>
      <c r="X201" s="18">
        <f t="shared" si="304"/>
        <v>31400000</v>
      </c>
      <c r="Y201" s="18">
        <f t="shared" si="304"/>
        <v>0</v>
      </c>
      <c r="Z201" s="18">
        <f t="shared" si="304"/>
        <v>31400000</v>
      </c>
      <c r="AA201" s="18">
        <f t="shared" si="304"/>
        <v>125300000</v>
      </c>
      <c r="AB201" s="18">
        <f t="shared" si="304"/>
        <v>0</v>
      </c>
      <c r="AC201" s="18">
        <f t="shared" si="304"/>
        <v>0</v>
      </c>
      <c r="AD201" s="18">
        <f t="shared" si="304"/>
        <v>125300000</v>
      </c>
      <c r="AE201" s="18">
        <f t="shared" si="304"/>
        <v>17600000</v>
      </c>
      <c r="AF201" s="18">
        <f t="shared" si="304"/>
        <v>0</v>
      </c>
      <c r="AG201" s="18">
        <f t="shared" si="304"/>
        <v>17600000</v>
      </c>
      <c r="AH201" s="18"/>
      <c r="AI201" s="18">
        <f t="shared" si="304"/>
        <v>6844550000</v>
      </c>
    </row>
    <row r="202" spans="1:35" ht="15.75" x14ac:dyDescent="0.25">
      <c r="A202" s="55"/>
      <c r="B202" s="26" t="s">
        <v>135</v>
      </c>
      <c r="C202" s="27"/>
      <c r="D202" s="28"/>
      <c r="E202" s="29">
        <f t="shared" ref="E202:AG202" si="305">E201</f>
        <v>7200000</v>
      </c>
      <c r="F202" s="29">
        <f t="shared" si="305"/>
        <v>50000000</v>
      </c>
      <c r="G202" s="29">
        <f t="shared" si="305"/>
        <v>57200000</v>
      </c>
      <c r="H202" s="29">
        <f t="shared" si="305"/>
        <v>337750000</v>
      </c>
      <c r="I202" s="29">
        <f t="shared" si="305"/>
        <v>150000000</v>
      </c>
      <c r="J202" s="29">
        <f t="shared" si="305"/>
        <v>487750000</v>
      </c>
      <c r="K202" s="29">
        <f t="shared" si="305"/>
        <v>951850000</v>
      </c>
      <c r="L202" s="29">
        <f t="shared" si="305"/>
        <v>278800000</v>
      </c>
      <c r="M202" s="29">
        <f t="shared" si="305"/>
        <v>1230650000</v>
      </c>
      <c r="N202" s="29">
        <f t="shared" si="305"/>
        <v>1565350000</v>
      </c>
      <c r="O202" s="29">
        <f t="shared" si="305"/>
        <v>543200000</v>
      </c>
      <c r="P202" s="29">
        <f t="shared" si="305"/>
        <v>2108550000</v>
      </c>
      <c r="Q202" s="29">
        <f t="shared" si="305"/>
        <v>3091500000</v>
      </c>
      <c r="R202" s="29">
        <f t="shared" si="305"/>
        <v>43200000</v>
      </c>
      <c r="S202" s="29">
        <f t="shared" si="305"/>
        <v>3134700000</v>
      </c>
      <c r="T202" s="29">
        <f t="shared" si="305"/>
        <v>0</v>
      </c>
      <c r="U202" s="29">
        <f t="shared" si="305"/>
        <v>5953650000</v>
      </c>
      <c r="V202" s="29">
        <f t="shared" si="305"/>
        <v>1065200000</v>
      </c>
      <c r="W202" s="29">
        <f t="shared" si="305"/>
        <v>7018850000</v>
      </c>
      <c r="X202" s="29">
        <f t="shared" si="305"/>
        <v>31400000</v>
      </c>
      <c r="Y202" s="29">
        <f t="shared" si="305"/>
        <v>0</v>
      </c>
      <c r="Z202" s="29">
        <f t="shared" si="305"/>
        <v>31400000</v>
      </c>
      <c r="AA202" s="29">
        <f t="shared" si="305"/>
        <v>125300000</v>
      </c>
      <c r="AB202" s="29">
        <f t="shared" si="305"/>
        <v>0</v>
      </c>
      <c r="AC202" s="29">
        <f t="shared" si="305"/>
        <v>0</v>
      </c>
      <c r="AD202" s="29">
        <f t="shared" si="305"/>
        <v>125300000</v>
      </c>
      <c r="AE202" s="29">
        <f t="shared" si="305"/>
        <v>17600000</v>
      </c>
      <c r="AF202" s="29">
        <f t="shared" si="305"/>
        <v>0</v>
      </c>
      <c r="AG202" s="29">
        <f t="shared" si="305"/>
        <v>17600000</v>
      </c>
      <c r="AH202" s="29"/>
      <c r="AI202" s="29">
        <f>AI201</f>
        <v>6844550000</v>
      </c>
    </row>
    <row r="203" spans="1:35" x14ac:dyDescent="0.25">
      <c r="AH203" s="1"/>
    </row>
    <row r="204" spans="1:35" x14ac:dyDescent="0.25">
      <c r="C204" s="2"/>
      <c r="D204" s="155"/>
      <c r="E204" s="155"/>
      <c r="F204" s="155"/>
      <c r="AH204" s="1"/>
    </row>
    <row r="205" spans="1:35" ht="18.75" x14ac:dyDescent="0.25">
      <c r="A205" s="51"/>
      <c r="B205" s="368" t="s">
        <v>136</v>
      </c>
      <c r="C205" s="369"/>
      <c r="D205" s="369"/>
      <c r="E205" s="369"/>
      <c r="F205" s="369"/>
      <c r="G205" s="369"/>
      <c r="H205" s="369"/>
      <c r="I205" s="369"/>
      <c r="J205" s="369"/>
      <c r="K205" s="369"/>
      <c r="L205" s="369"/>
      <c r="M205" s="369"/>
      <c r="N205" s="369"/>
      <c r="O205" s="369"/>
      <c r="P205" s="369"/>
      <c r="Q205" s="369"/>
      <c r="R205" s="369"/>
      <c r="S205" s="369"/>
      <c r="T205" s="369"/>
      <c r="U205" s="369"/>
      <c r="V205" s="369"/>
      <c r="W205" s="369"/>
      <c r="X205" s="369"/>
      <c r="Y205" s="369"/>
      <c r="Z205" s="369"/>
      <c r="AA205" s="369"/>
      <c r="AB205" s="369"/>
      <c r="AC205" s="369"/>
      <c r="AD205" s="369"/>
      <c r="AE205" s="386"/>
      <c r="AF205" s="72"/>
      <c r="AG205" s="72"/>
      <c r="AH205" s="72"/>
      <c r="AI205" s="72"/>
    </row>
    <row r="206" spans="1:35" ht="18.75" x14ac:dyDescent="0.25">
      <c r="A206" s="52"/>
      <c r="B206" s="380" t="s">
        <v>236</v>
      </c>
      <c r="C206" s="380"/>
      <c r="D206" s="380"/>
      <c r="E206" s="380"/>
      <c r="F206" s="380"/>
      <c r="G206" s="380"/>
      <c r="H206" s="380"/>
      <c r="I206" s="380"/>
      <c r="J206" s="380"/>
      <c r="K206" s="380"/>
      <c r="L206" s="380"/>
      <c r="M206" s="380"/>
      <c r="N206" s="380"/>
      <c r="O206" s="380"/>
      <c r="P206" s="380"/>
      <c r="Q206" s="380"/>
      <c r="R206" s="380"/>
      <c r="S206" s="381"/>
      <c r="T206" s="213"/>
      <c r="U206" s="17"/>
      <c r="V206" s="39"/>
      <c r="W206" s="213"/>
      <c r="X206" s="17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</row>
    <row r="207" spans="1:35" ht="15.75" x14ac:dyDescent="0.25">
      <c r="A207" s="370" t="s">
        <v>4</v>
      </c>
      <c r="B207" s="115" t="s">
        <v>217</v>
      </c>
      <c r="C207" s="49"/>
      <c r="D207" s="85"/>
      <c r="E207" s="85"/>
      <c r="F207" s="85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211"/>
      <c r="U207" s="40"/>
      <c r="V207" s="86"/>
      <c r="W207" s="234"/>
      <c r="X207" s="41"/>
      <c r="Y207" s="71"/>
      <c r="Z207" s="69"/>
      <c r="AA207" s="69"/>
      <c r="AB207" s="69"/>
      <c r="AC207" s="69"/>
      <c r="AD207" s="90"/>
      <c r="AE207" s="69"/>
      <c r="AF207" s="69"/>
      <c r="AG207" s="69"/>
      <c r="AH207" s="69"/>
      <c r="AI207" s="69"/>
    </row>
    <row r="208" spans="1:35" ht="31.5" x14ac:dyDescent="0.25">
      <c r="A208" s="370"/>
      <c r="B208" s="114" t="s">
        <v>137</v>
      </c>
      <c r="C208" s="49" t="s">
        <v>273</v>
      </c>
      <c r="D208" s="4"/>
      <c r="E208" s="12">
        <f>5000000</f>
        <v>5000000</v>
      </c>
      <c r="F208" s="4"/>
      <c r="G208" s="12">
        <f>5000000</f>
        <v>5000000</v>
      </c>
      <c r="H208" s="35"/>
      <c r="I208" s="1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212"/>
      <c r="U208" s="186">
        <f t="shared" ref="U208:W208" si="306">E208+H208+K208+N208+Q208</f>
        <v>5000000</v>
      </c>
      <c r="V208" s="186">
        <f t="shared" si="306"/>
        <v>0</v>
      </c>
      <c r="W208" s="235">
        <f t="shared" si="306"/>
        <v>5000000</v>
      </c>
      <c r="X208" s="31">
        <f t="shared" ref="X208:Y208" si="307">E208+H208+K208-AA208</f>
        <v>0</v>
      </c>
      <c r="Y208" s="31">
        <f t="shared" si="307"/>
        <v>0</v>
      </c>
      <c r="Z208" s="243">
        <f t="shared" ref="Z208" si="308">G208+J208+M208-AD208</f>
        <v>0</v>
      </c>
      <c r="AA208" s="12">
        <v>5000000</v>
      </c>
      <c r="AB208" s="12"/>
      <c r="AC208" s="12"/>
      <c r="AD208" s="24">
        <f>W208</f>
        <v>5000000</v>
      </c>
      <c r="AE208" s="80">
        <f t="shared" ref="AE208:AG208" si="309">N208+Q208</f>
        <v>0</v>
      </c>
      <c r="AF208" s="80">
        <f t="shared" si="309"/>
        <v>0</v>
      </c>
      <c r="AG208" s="243">
        <f t="shared" si="309"/>
        <v>0</v>
      </c>
      <c r="AH208" s="12"/>
      <c r="AI208" s="12">
        <f t="shared" ref="AI208" si="310">W208-Z208-AD208-AG208</f>
        <v>0</v>
      </c>
    </row>
    <row r="209" spans="1:35" ht="31.5" x14ac:dyDescent="0.25">
      <c r="A209" s="370"/>
      <c r="B209" s="115" t="s">
        <v>216</v>
      </c>
      <c r="C209" s="49"/>
      <c r="D209" s="99"/>
      <c r="E209" s="69"/>
      <c r="F209" s="99"/>
      <c r="G209" s="69"/>
      <c r="H209" s="70"/>
      <c r="I209" s="69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223"/>
      <c r="U209" s="221"/>
      <c r="V209" s="88"/>
      <c r="W209" s="234"/>
      <c r="X209" s="41"/>
      <c r="Y209" s="71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</row>
    <row r="210" spans="1:35" ht="41.25" x14ac:dyDescent="0.25">
      <c r="A210" s="370"/>
      <c r="B210" s="114" t="s">
        <v>165</v>
      </c>
      <c r="C210" s="49" t="s">
        <v>273</v>
      </c>
      <c r="D210" s="4"/>
      <c r="E210" s="12"/>
      <c r="F210" s="4"/>
      <c r="G210" s="12"/>
      <c r="H210" s="12">
        <f>30*50000+5000000</f>
        <v>6500000</v>
      </c>
      <c r="I210" s="12"/>
      <c r="J210" s="12">
        <f>30*50000+5000000</f>
        <v>6500000</v>
      </c>
      <c r="K210" s="12"/>
      <c r="L210" s="12"/>
      <c r="M210" s="35"/>
      <c r="N210" s="35"/>
      <c r="O210" s="35"/>
      <c r="P210" s="35"/>
      <c r="Q210" s="35"/>
      <c r="R210" s="35"/>
      <c r="S210" s="35"/>
      <c r="T210" s="225"/>
      <c r="U210" s="186">
        <f t="shared" ref="U210:W211" si="311">E210+H210+K210+N210+Q210</f>
        <v>6500000</v>
      </c>
      <c r="V210" s="186">
        <f t="shared" si="311"/>
        <v>0</v>
      </c>
      <c r="W210" s="235">
        <f t="shared" si="311"/>
        <v>6500000</v>
      </c>
      <c r="X210" s="31">
        <v>0</v>
      </c>
      <c r="Y210" s="31">
        <f t="shared" ref="Y210:Y211" si="312">F210+I210+L210-AB210</f>
        <v>0</v>
      </c>
      <c r="Z210" s="243">
        <v>0</v>
      </c>
      <c r="AA210" s="12">
        <v>2500000</v>
      </c>
      <c r="AB210" s="12"/>
      <c r="AC210" s="12"/>
      <c r="AD210" s="12">
        <v>2500000</v>
      </c>
      <c r="AE210" s="80">
        <f t="shared" ref="AE210:AG211" si="313">N210+Q210</f>
        <v>0</v>
      </c>
      <c r="AF210" s="80">
        <f t="shared" si="313"/>
        <v>0</v>
      </c>
      <c r="AG210" s="243">
        <f t="shared" si="313"/>
        <v>0</v>
      </c>
      <c r="AH210" s="12"/>
      <c r="AI210" s="12">
        <f t="shared" ref="AI210:AI211" si="314">W210-Z210-AD210-AG210</f>
        <v>4000000</v>
      </c>
    </row>
    <row r="211" spans="1:35" ht="31.5" x14ac:dyDescent="0.25">
      <c r="A211" s="370"/>
      <c r="B211" s="114" t="s">
        <v>138</v>
      </c>
      <c r="C211" s="49" t="s">
        <v>273</v>
      </c>
      <c r="D211" s="4"/>
      <c r="E211" s="12"/>
      <c r="F211" s="4"/>
      <c r="G211" s="12"/>
      <c r="H211" s="12"/>
      <c r="I211" s="12"/>
      <c r="J211" s="12"/>
      <c r="K211" s="12"/>
      <c r="L211" s="12"/>
      <c r="M211" s="35"/>
      <c r="N211" s="35"/>
      <c r="O211" s="35"/>
      <c r="P211" s="35"/>
      <c r="Q211" s="35"/>
      <c r="R211" s="35"/>
      <c r="S211" s="35"/>
      <c r="T211" s="225"/>
      <c r="U211" s="186">
        <f t="shared" si="311"/>
        <v>0</v>
      </c>
      <c r="V211" s="186">
        <f t="shared" si="311"/>
        <v>0</v>
      </c>
      <c r="W211" s="235">
        <f t="shared" si="311"/>
        <v>0</v>
      </c>
      <c r="X211" s="31">
        <f t="shared" ref="X211" si="315">E211+H211+K211-AA211</f>
        <v>0</v>
      </c>
      <c r="Y211" s="31">
        <f t="shared" si="312"/>
        <v>0</v>
      </c>
      <c r="Z211" s="243">
        <f t="shared" ref="Z211" si="316">G211+J211+M211-AD211</f>
        <v>0</v>
      </c>
      <c r="AA211" s="12"/>
      <c r="AB211" s="12"/>
      <c r="AC211" s="12"/>
      <c r="AD211" s="24">
        <f>W211</f>
        <v>0</v>
      </c>
      <c r="AE211" s="80">
        <f t="shared" si="313"/>
        <v>0</v>
      </c>
      <c r="AF211" s="80">
        <f t="shared" si="313"/>
        <v>0</v>
      </c>
      <c r="AG211" s="243">
        <f t="shared" si="313"/>
        <v>0</v>
      </c>
      <c r="AH211" s="12"/>
      <c r="AI211" s="12">
        <f t="shared" si="314"/>
        <v>0</v>
      </c>
    </row>
    <row r="212" spans="1:35" ht="15.75" x14ac:dyDescent="0.25">
      <c r="A212" s="77"/>
      <c r="B212" s="107" t="s">
        <v>139</v>
      </c>
      <c r="C212" s="108"/>
      <c r="D212" s="82"/>
      <c r="E212" s="100">
        <f>SUM(E207:E211)</f>
        <v>5000000</v>
      </c>
      <c r="F212" s="82"/>
      <c r="G212" s="100">
        <f>SUM(G207:G211)</f>
        <v>5000000</v>
      </c>
      <c r="H212" s="100">
        <f t="shared" ref="H212" si="317">SUM(H207:H211)</f>
        <v>6500000</v>
      </c>
      <c r="I212" s="100"/>
      <c r="J212" s="100">
        <f t="shared" ref="J212:AI212" si="318">SUM(J207:J211)</f>
        <v>6500000</v>
      </c>
      <c r="K212" s="100"/>
      <c r="L212" s="100"/>
      <c r="M212" s="100">
        <f t="shared" si="318"/>
        <v>0</v>
      </c>
      <c r="N212" s="100"/>
      <c r="O212" s="100"/>
      <c r="P212" s="100">
        <f t="shared" si="318"/>
        <v>0</v>
      </c>
      <c r="Q212" s="100"/>
      <c r="R212" s="100"/>
      <c r="S212" s="100">
        <f t="shared" si="318"/>
        <v>0</v>
      </c>
      <c r="T212" s="226">
        <f t="shared" si="318"/>
        <v>0</v>
      </c>
      <c r="U212" s="222">
        <f>SUM(U208:U211)</f>
        <v>11500000</v>
      </c>
      <c r="V212" s="100">
        <f>SUM(V208:V211)</f>
        <v>0</v>
      </c>
      <c r="W212" s="226">
        <f t="shared" si="318"/>
        <v>11500000</v>
      </c>
      <c r="X212" s="222">
        <f>SUM(X208:X211)</f>
        <v>0</v>
      </c>
      <c r="Y212" s="100">
        <f>SUM(Y208:Y211)</f>
        <v>0</v>
      </c>
      <c r="Z212" s="100">
        <f t="shared" ref="Z212:AC212" si="319">SUM(Z208:Z211)</f>
        <v>0</v>
      </c>
      <c r="AA212" s="100">
        <f t="shared" si="319"/>
        <v>7500000</v>
      </c>
      <c r="AB212" s="100">
        <f t="shared" si="319"/>
        <v>0</v>
      </c>
      <c r="AC212" s="100">
        <f t="shared" si="319"/>
        <v>0</v>
      </c>
      <c r="AD212" s="100">
        <f t="shared" si="318"/>
        <v>7500000</v>
      </c>
      <c r="AE212" s="100">
        <f>SUM(AE207:AE211)</f>
        <v>0</v>
      </c>
      <c r="AF212" s="100">
        <f t="shared" si="318"/>
        <v>0</v>
      </c>
      <c r="AG212" s="100">
        <f t="shared" si="318"/>
        <v>0</v>
      </c>
      <c r="AH212" s="100"/>
      <c r="AI212" s="100">
        <f t="shared" si="318"/>
        <v>4000000</v>
      </c>
    </row>
    <row r="213" spans="1:35" ht="18.75" x14ac:dyDescent="0.25">
      <c r="A213" s="52"/>
      <c r="B213" s="380" t="s">
        <v>218</v>
      </c>
      <c r="C213" s="380"/>
      <c r="D213" s="380"/>
      <c r="E213" s="380"/>
      <c r="F213" s="380"/>
      <c r="G213" s="380"/>
      <c r="H213" s="380"/>
      <c r="I213" s="380"/>
      <c r="J213" s="380"/>
      <c r="K213" s="380"/>
      <c r="L213" s="380"/>
      <c r="M213" s="380"/>
      <c r="N213" s="380"/>
      <c r="O213" s="380"/>
      <c r="P213" s="380"/>
      <c r="Q213" s="380"/>
      <c r="R213" s="380"/>
      <c r="S213" s="381"/>
      <c r="T213" s="213"/>
      <c r="U213" s="17"/>
      <c r="V213" s="39"/>
      <c r="W213" s="213"/>
      <c r="X213" s="17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</row>
    <row r="214" spans="1:35" ht="47.25" x14ac:dyDescent="0.25">
      <c r="A214" s="127"/>
      <c r="B214" s="115" t="s">
        <v>219</v>
      </c>
      <c r="C214" s="49"/>
      <c r="D214" s="99"/>
      <c r="E214" s="99"/>
      <c r="F214" s="99"/>
      <c r="G214" s="70"/>
      <c r="H214" s="70"/>
      <c r="I214" s="70"/>
      <c r="J214" s="70"/>
      <c r="K214" s="70"/>
      <c r="L214" s="70"/>
      <c r="M214" s="69"/>
      <c r="N214" s="69"/>
      <c r="O214" s="69"/>
      <c r="P214" s="69"/>
      <c r="Q214" s="69"/>
      <c r="R214" s="69"/>
      <c r="S214" s="69"/>
      <c r="T214" s="211"/>
      <c r="U214" s="40"/>
      <c r="V214" s="86"/>
      <c r="W214" s="234"/>
      <c r="X214" s="41"/>
      <c r="Y214" s="71"/>
      <c r="Z214" s="69"/>
      <c r="AA214" s="69"/>
      <c r="AB214" s="69"/>
      <c r="AC214" s="69"/>
      <c r="AD214" s="90"/>
      <c r="AE214" s="69"/>
      <c r="AF214" s="69"/>
      <c r="AG214" s="69"/>
      <c r="AH214" s="69"/>
      <c r="AI214" s="69"/>
    </row>
    <row r="215" spans="1:35" ht="78.75" x14ac:dyDescent="0.25">
      <c r="A215" s="127"/>
      <c r="B215" s="114" t="s">
        <v>140</v>
      </c>
      <c r="C215" s="49" t="s">
        <v>273</v>
      </c>
      <c r="D215" s="12">
        <v>105263.15789473684</v>
      </c>
      <c r="E215" s="129">
        <f>700*$D215</f>
        <v>73684210.526315793</v>
      </c>
      <c r="F215" s="80"/>
      <c r="G215" s="129">
        <f>700*$D215</f>
        <v>73684210.526315793</v>
      </c>
      <c r="H215" s="129">
        <v>73684210.526315793</v>
      </c>
      <c r="I215" s="129"/>
      <c r="J215" s="129">
        <f t="shared" ref="J215:S215" si="320">700*$D215</f>
        <v>73684210.526315793</v>
      </c>
      <c r="K215" s="129">
        <v>73684210.526315793</v>
      </c>
      <c r="L215" s="129"/>
      <c r="M215" s="129">
        <f t="shared" si="320"/>
        <v>73684210.526315793</v>
      </c>
      <c r="N215" s="129">
        <v>73684210.526315793</v>
      </c>
      <c r="O215" s="129"/>
      <c r="P215" s="129">
        <f t="shared" si="320"/>
        <v>73684210.526315793</v>
      </c>
      <c r="Q215" s="129">
        <v>73684210.526315793</v>
      </c>
      <c r="R215" s="129"/>
      <c r="S215" s="129">
        <f t="shared" si="320"/>
        <v>73684210.526315793</v>
      </c>
      <c r="T215" s="227"/>
      <c r="U215" s="186">
        <f t="shared" ref="U215:W219" si="321">E215+H215+K215+N215+Q215</f>
        <v>368421052.63157898</v>
      </c>
      <c r="V215" s="186">
        <f t="shared" si="321"/>
        <v>0</v>
      </c>
      <c r="W215" s="235">
        <f t="shared" si="321"/>
        <v>368421052.63157898</v>
      </c>
      <c r="X215" s="31">
        <f t="shared" ref="X215:Y219" si="322">E215+H215+K215-AA215</f>
        <v>221052631.57894737</v>
      </c>
      <c r="Y215" s="31">
        <f t="shared" si="322"/>
        <v>0</v>
      </c>
      <c r="Z215" s="243">
        <f t="shared" ref="Z215:Z218" si="323">G215+J215+M215-AD215</f>
        <v>221052631.57894737</v>
      </c>
      <c r="AA215" s="129"/>
      <c r="AB215" s="129"/>
      <c r="AC215" s="129"/>
      <c r="AD215" s="129"/>
      <c r="AE215" s="80">
        <f t="shared" ref="AE215:AG219" si="324">N215+Q215</f>
        <v>147368421.05263159</v>
      </c>
      <c r="AF215" s="80">
        <f t="shared" si="324"/>
        <v>0</v>
      </c>
      <c r="AG215" s="243">
        <f t="shared" si="324"/>
        <v>147368421.05263159</v>
      </c>
      <c r="AH215" s="129"/>
      <c r="AI215" s="12">
        <f t="shared" ref="AI215:AI219" si="325">W215-Z215-AD215-AG215</f>
        <v>0</v>
      </c>
    </row>
    <row r="216" spans="1:35" ht="31.5" x14ac:dyDescent="0.25">
      <c r="A216" s="127"/>
      <c r="B216" s="114" t="s">
        <v>141</v>
      </c>
      <c r="C216" s="49" t="s">
        <v>273</v>
      </c>
      <c r="D216" s="12">
        <f>9000*12</f>
        <v>108000</v>
      </c>
      <c r="E216" s="129">
        <f>100*$D216*60%</f>
        <v>6480000</v>
      </c>
      <c r="F216" s="80"/>
      <c r="G216" s="129">
        <f>100*$D216*60%</f>
        <v>6480000</v>
      </c>
      <c r="H216" s="129">
        <v>6480000</v>
      </c>
      <c r="I216" s="129"/>
      <c r="J216" s="129">
        <f t="shared" ref="J216:S216" si="326">100*$D216*60%</f>
        <v>6480000</v>
      </c>
      <c r="K216" s="129">
        <v>6480000</v>
      </c>
      <c r="L216" s="129"/>
      <c r="M216" s="129">
        <f t="shared" si="326"/>
        <v>6480000</v>
      </c>
      <c r="N216" s="129">
        <v>6480000</v>
      </c>
      <c r="O216" s="129"/>
      <c r="P216" s="129">
        <f t="shared" si="326"/>
        <v>6480000</v>
      </c>
      <c r="Q216" s="129">
        <v>6480000</v>
      </c>
      <c r="R216" s="129"/>
      <c r="S216" s="129">
        <f t="shared" si="326"/>
        <v>6480000</v>
      </c>
      <c r="T216" s="227"/>
      <c r="U216" s="186">
        <f t="shared" si="321"/>
        <v>32400000</v>
      </c>
      <c r="V216" s="186">
        <f t="shared" si="321"/>
        <v>0</v>
      </c>
      <c r="W216" s="235">
        <f t="shared" si="321"/>
        <v>32400000</v>
      </c>
      <c r="X216" s="31">
        <v>0</v>
      </c>
      <c r="Y216" s="31">
        <f t="shared" si="322"/>
        <v>0</v>
      </c>
      <c r="Z216" s="243">
        <v>0</v>
      </c>
      <c r="AA216" s="129"/>
      <c r="AB216" s="129"/>
      <c r="AC216" s="129"/>
      <c r="AD216" s="129"/>
      <c r="AE216" s="80">
        <v>0</v>
      </c>
      <c r="AF216" s="80">
        <f t="shared" si="324"/>
        <v>0</v>
      </c>
      <c r="AG216" s="243">
        <v>0</v>
      </c>
      <c r="AH216" s="129"/>
      <c r="AI216" s="12">
        <f t="shared" si="325"/>
        <v>32400000</v>
      </c>
    </row>
    <row r="217" spans="1:35" ht="31.5" x14ac:dyDescent="0.25">
      <c r="A217" s="127"/>
      <c r="B217" s="114" t="s">
        <v>142</v>
      </c>
      <c r="C217" s="49" t="s">
        <v>273</v>
      </c>
      <c r="D217" s="12">
        <f>D215/365*1.2</f>
        <v>346.07065609228545</v>
      </c>
      <c r="E217" s="129">
        <f>G217</f>
        <v>6315789.4736842103</v>
      </c>
      <c r="F217" s="80"/>
      <c r="G217" s="129">
        <f>50*D215*1.2</f>
        <v>6315789.4736842103</v>
      </c>
      <c r="H217" s="129">
        <v>6315789.4736842103</v>
      </c>
      <c r="I217" s="80"/>
      <c r="J217" s="129">
        <v>6315789.4736842103</v>
      </c>
      <c r="K217" s="129">
        <v>6315789.4736842103</v>
      </c>
      <c r="L217" s="80"/>
      <c r="M217" s="129">
        <v>6315789.4736842103</v>
      </c>
      <c r="N217" s="129">
        <v>6315789.4736842103</v>
      </c>
      <c r="O217" s="80"/>
      <c r="P217" s="129">
        <v>6315789.4736842103</v>
      </c>
      <c r="Q217" s="129">
        <v>6315789.4736842103</v>
      </c>
      <c r="R217" s="80"/>
      <c r="S217" s="129">
        <v>6315789.4736842103</v>
      </c>
      <c r="T217" s="227"/>
      <c r="U217" s="186">
        <f t="shared" si="321"/>
        <v>31578947.368421052</v>
      </c>
      <c r="V217" s="186">
        <f t="shared" si="321"/>
        <v>0</v>
      </c>
      <c r="W217" s="235">
        <f t="shared" si="321"/>
        <v>31578947.368421052</v>
      </c>
      <c r="X217" s="31">
        <v>0</v>
      </c>
      <c r="Y217" s="31">
        <f t="shared" si="322"/>
        <v>0</v>
      </c>
      <c r="Z217" s="243">
        <v>0</v>
      </c>
      <c r="AA217" s="129"/>
      <c r="AB217" s="129"/>
      <c r="AC217" s="129"/>
      <c r="AD217" s="129"/>
      <c r="AE217" s="80">
        <v>0</v>
      </c>
      <c r="AF217" s="80">
        <f t="shared" si="324"/>
        <v>0</v>
      </c>
      <c r="AG217" s="243">
        <v>0</v>
      </c>
      <c r="AH217" s="129"/>
      <c r="AI217" s="12">
        <f t="shared" si="325"/>
        <v>31578947.368421052</v>
      </c>
    </row>
    <row r="218" spans="1:35" ht="47.25" x14ac:dyDescent="0.25">
      <c r="A218" s="127"/>
      <c r="B218" s="114" t="s">
        <v>143</v>
      </c>
      <c r="C218" s="49" t="s">
        <v>273</v>
      </c>
      <c r="D218" s="12">
        <v>1140000</v>
      </c>
      <c r="E218" s="80"/>
      <c r="F218" s="129">
        <f>100*$D218</f>
        <v>114000000</v>
      </c>
      <c r="G218" s="129">
        <f>100*$D218</f>
        <v>114000000</v>
      </c>
      <c r="H218" s="129"/>
      <c r="I218" s="129">
        <v>114000000</v>
      </c>
      <c r="J218" s="129">
        <f t="shared" ref="J218:S218" si="327">100*$D218</f>
        <v>114000000</v>
      </c>
      <c r="K218" s="129"/>
      <c r="L218" s="129">
        <v>114000000</v>
      </c>
      <c r="M218" s="129">
        <f t="shared" si="327"/>
        <v>114000000</v>
      </c>
      <c r="N218" s="129"/>
      <c r="O218" s="129">
        <v>114000000</v>
      </c>
      <c r="P218" s="129">
        <f t="shared" si="327"/>
        <v>114000000</v>
      </c>
      <c r="Q218" s="129"/>
      <c r="R218" s="129">
        <v>114000000</v>
      </c>
      <c r="S218" s="129">
        <f t="shared" si="327"/>
        <v>114000000</v>
      </c>
      <c r="T218" s="227"/>
      <c r="U218" s="186">
        <f t="shared" si="321"/>
        <v>0</v>
      </c>
      <c r="V218" s="186">
        <f t="shared" si="321"/>
        <v>570000000</v>
      </c>
      <c r="W218" s="235">
        <f t="shared" si="321"/>
        <v>570000000</v>
      </c>
      <c r="X218" s="31">
        <f t="shared" si="322"/>
        <v>0</v>
      </c>
      <c r="Y218" s="31">
        <f t="shared" si="322"/>
        <v>342000000</v>
      </c>
      <c r="Z218" s="243">
        <f t="shared" si="323"/>
        <v>342000000</v>
      </c>
      <c r="AA218" s="129"/>
      <c r="AB218" s="129"/>
      <c r="AC218" s="129"/>
      <c r="AD218" s="129"/>
      <c r="AE218" s="80">
        <f t="shared" si="324"/>
        <v>0</v>
      </c>
      <c r="AF218" s="80">
        <f t="shared" si="324"/>
        <v>228000000</v>
      </c>
      <c r="AG218" s="243">
        <f t="shared" si="324"/>
        <v>228000000</v>
      </c>
      <c r="AH218" s="129"/>
      <c r="AI218" s="12">
        <f t="shared" si="325"/>
        <v>0</v>
      </c>
    </row>
    <row r="219" spans="1:35" ht="47.25" x14ac:dyDescent="0.25">
      <c r="A219" s="127"/>
      <c r="B219" s="114" t="s">
        <v>144</v>
      </c>
      <c r="C219" s="49" t="s">
        <v>255</v>
      </c>
      <c r="D219" s="128"/>
      <c r="E219" s="128"/>
      <c r="F219" s="129">
        <v>8190000</v>
      </c>
      <c r="G219" s="129">
        <v>8190000</v>
      </c>
      <c r="H219" s="129"/>
      <c r="I219" s="129">
        <v>10080000</v>
      </c>
      <c r="J219" s="31">
        <f>100000*7*12*1.2</f>
        <v>10080000</v>
      </c>
      <c r="K219" s="31"/>
      <c r="L219" s="129">
        <v>10080000</v>
      </c>
      <c r="M219" s="31">
        <f>100000*7*12*1.2</f>
        <v>10080000</v>
      </c>
      <c r="N219" s="31"/>
      <c r="O219" s="31">
        <v>10080000</v>
      </c>
      <c r="P219" s="31">
        <f t="shared" ref="P219:S219" si="328">100000*7*12*1.2</f>
        <v>10080000</v>
      </c>
      <c r="Q219" s="31"/>
      <c r="R219" s="31">
        <v>10080000</v>
      </c>
      <c r="S219" s="31">
        <f t="shared" si="328"/>
        <v>10080000</v>
      </c>
      <c r="T219" s="227"/>
      <c r="U219" s="186">
        <f t="shared" si="321"/>
        <v>0</v>
      </c>
      <c r="V219" s="186">
        <f t="shared" si="321"/>
        <v>48510000</v>
      </c>
      <c r="W219" s="235">
        <f t="shared" si="321"/>
        <v>48510000</v>
      </c>
      <c r="X219" s="31">
        <f t="shared" si="322"/>
        <v>0</v>
      </c>
      <c r="Y219" s="31">
        <f>F219+I219+L219-AB219-3150000</f>
        <v>25200000</v>
      </c>
      <c r="Z219" s="243">
        <f>G219+J219+M219-AD219-3150000</f>
        <v>25200000</v>
      </c>
      <c r="AA219" s="129"/>
      <c r="AB219" s="129"/>
      <c r="AC219" s="129"/>
      <c r="AD219" s="129"/>
      <c r="AE219" s="80">
        <f t="shared" si="324"/>
        <v>0</v>
      </c>
      <c r="AF219" s="80">
        <f t="shared" si="324"/>
        <v>20160000</v>
      </c>
      <c r="AG219" s="243">
        <f t="shared" si="324"/>
        <v>20160000</v>
      </c>
      <c r="AH219" s="129"/>
      <c r="AI219" s="12">
        <f t="shared" si="325"/>
        <v>3150000</v>
      </c>
    </row>
    <row r="220" spans="1:35" ht="31.5" x14ac:dyDescent="0.25">
      <c r="A220" s="127"/>
      <c r="B220" s="115" t="s">
        <v>220</v>
      </c>
      <c r="C220" s="49"/>
      <c r="D220" s="99"/>
      <c r="E220" s="99"/>
      <c r="F220" s="99"/>
      <c r="G220" s="70"/>
      <c r="H220" s="70"/>
      <c r="I220" s="70"/>
      <c r="J220" s="70"/>
      <c r="K220" s="70"/>
      <c r="L220" s="70"/>
      <c r="M220" s="69"/>
      <c r="N220" s="69"/>
      <c r="O220" s="69"/>
      <c r="P220" s="69"/>
      <c r="Q220" s="69"/>
      <c r="R220" s="69"/>
      <c r="S220" s="69"/>
      <c r="T220" s="211"/>
      <c r="U220" s="40"/>
      <c r="V220" s="86"/>
      <c r="W220" s="234"/>
      <c r="X220" s="41"/>
      <c r="Y220" s="71"/>
      <c r="Z220" s="69"/>
      <c r="AA220" s="69"/>
      <c r="AB220" s="69"/>
      <c r="AC220" s="69"/>
      <c r="AD220" s="90"/>
      <c r="AE220" s="69"/>
      <c r="AF220" s="69"/>
      <c r="AG220" s="69"/>
      <c r="AH220" s="69"/>
      <c r="AI220" s="69"/>
    </row>
    <row r="221" spans="1:35" ht="31.5" x14ac:dyDescent="0.25">
      <c r="A221" s="127"/>
      <c r="B221" s="114" t="s">
        <v>145</v>
      </c>
      <c r="C221" s="271" t="s">
        <v>273</v>
      </c>
      <c r="D221" s="12">
        <v>4390243.9024390243</v>
      </c>
      <c r="E221" s="80"/>
      <c r="F221" s="129">
        <v>4390243.9024390243</v>
      </c>
      <c r="G221" s="129">
        <f>D221</f>
        <v>4390243.9024390243</v>
      </c>
      <c r="H221" s="129"/>
      <c r="I221" s="129">
        <v>4390243.9024390243</v>
      </c>
      <c r="J221" s="129">
        <f>G221</f>
        <v>4390243.9024390243</v>
      </c>
      <c r="K221" s="129"/>
      <c r="L221" s="129">
        <v>4390243.9024390243</v>
      </c>
      <c r="M221" s="129">
        <f>J221</f>
        <v>4390243.9024390243</v>
      </c>
      <c r="N221" s="129"/>
      <c r="O221" s="129">
        <v>4390243.9024390243</v>
      </c>
      <c r="P221" s="129">
        <f>M221</f>
        <v>4390243.9024390243</v>
      </c>
      <c r="Q221" s="129"/>
      <c r="R221" s="129">
        <v>4390243.9024390243</v>
      </c>
      <c r="S221" s="129">
        <f t="shared" ref="S221" si="329">P221</f>
        <v>4390243.9024390243</v>
      </c>
      <c r="T221" s="227"/>
      <c r="U221" s="186">
        <f t="shared" ref="U221:W221" si="330">E221+H221+K221+N221+Q221</f>
        <v>0</v>
      </c>
      <c r="V221" s="186">
        <f t="shared" si="330"/>
        <v>21951219.512195121</v>
      </c>
      <c r="W221" s="235">
        <f t="shared" si="330"/>
        <v>21951219.512195121</v>
      </c>
      <c r="X221" s="31">
        <f t="shared" ref="X221:Y221" si="331">E221+H221+K221-AA221</f>
        <v>0</v>
      </c>
      <c r="Y221" s="31">
        <f t="shared" si="331"/>
        <v>13170731.707317073</v>
      </c>
      <c r="Z221" s="243">
        <f t="shared" ref="Z221" si="332">G221+J221+M221-AD221</f>
        <v>13170731.707317073</v>
      </c>
      <c r="AA221" s="129"/>
      <c r="AB221" s="129"/>
      <c r="AC221" s="129"/>
      <c r="AD221" s="129"/>
      <c r="AE221" s="80">
        <f t="shared" ref="AE221:AG221" si="333">N221+Q221</f>
        <v>0</v>
      </c>
      <c r="AF221" s="80">
        <f t="shared" si="333"/>
        <v>8780487.8048780486</v>
      </c>
      <c r="AG221" s="243">
        <f t="shared" si="333"/>
        <v>8780487.8048780486</v>
      </c>
      <c r="AH221" s="129"/>
      <c r="AI221" s="12">
        <f t="shared" ref="AI221" si="334">W221-Z221-AD221-AG221</f>
        <v>0</v>
      </c>
    </row>
    <row r="222" spans="1:35" ht="15.75" x14ac:dyDescent="0.25">
      <c r="A222" s="77"/>
      <c r="B222" s="107" t="s">
        <v>146</v>
      </c>
      <c r="C222" s="108"/>
      <c r="D222" s="82"/>
      <c r="E222" s="100">
        <f t="shared" ref="E222:AI222" si="335">SUM(E214:E221)</f>
        <v>86480000</v>
      </c>
      <c r="F222" s="100">
        <f t="shared" si="335"/>
        <v>126580243.90243903</v>
      </c>
      <c r="G222" s="100">
        <f t="shared" si="335"/>
        <v>213060243.90243903</v>
      </c>
      <c r="H222" s="100">
        <f t="shared" si="335"/>
        <v>86480000</v>
      </c>
      <c r="I222" s="100">
        <f t="shared" si="335"/>
        <v>128470243.90243903</v>
      </c>
      <c r="J222" s="100">
        <f t="shared" si="335"/>
        <v>214950243.90243903</v>
      </c>
      <c r="K222" s="100">
        <f t="shared" si="335"/>
        <v>86480000</v>
      </c>
      <c r="L222" s="100">
        <f t="shared" si="335"/>
        <v>128470243.90243903</v>
      </c>
      <c r="M222" s="100">
        <f t="shared" si="335"/>
        <v>214950243.90243903</v>
      </c>
      <c r="N222" s="100">
        <f t="shared" si="335"/>
        <v>86480000</v>
      </c>
      <c r="O222" s="100">
        <f t="shared" si="335"/>
        <v>128470243.90243903</v>
      </c>
      <c r="P222" s="100">
        <f t="shared" si="335"/>
        <v>214950243.90243903</v>
      </c>
      <c r="Q222" s="100">
        <f t="shared" si="335"/>
        <v>86480000</v>
      </c>
      <c r="R222" s="100">
        <f t="shared" si="335"/>
        <v>128470243.90243903</v>
      </c>
      <c r="S222" s="100">
        <f t="shared" si="335"/>
        <v>214950243.90243903</v>
      </c>
      <c r="T222" s="100">
        <f t="shared" si="335"/>
        <v>0</v>
      </c>
      <c r="U222" s="100">
        <f t="shared" si="335"/>
        <v>432400000.00000006</v>
      </c>
      <c r="V222" s="100">
        <f t="shared" si="335"/>
        <v>640461219.51219511</v>
      </c>
      <c r="W222" s="100">
        <f>SUM(W214:W221)</f>
        <v>1072861219.5121951</v>
      </c>
      <c r="X222" s="100">
        <f t="shared" si="335"/>
        <v>221052631.57894737</v>
      </c>
      <c r="Y222" s="100">
        <f t="shared" si="335"/>
        <v>380370731.70731705</v>
      </c>
      <c r="Z222" s="100">
        <f t="shared" si="335"/>
        <v>601423363.28626442</v>
      </c>
      <c r="AA222" s="100">
        <f t="shared" si="335"/>
        <v>0</v>
      </c>
      <c r="AB222" s="100">
        <f t="shared" si="335"/>
        <v>0</v>
      </c>
      <c r="AC222" s="100">
        <f t="shared" si="335"/>
        <v>0</v>
      </c>
      <c r="AD222" s="100">
        <f t="shared" si="335"/>
        <v>0</v>
      </c>
      <c r="AE222" s="100">
        <f t="shared" si="335"/>
        <v>147368421.05263159</v>
      </c>
      <c r="AF222" s="100">
        <f t="shared" si="335"/>
        <v>256940487.80487806</v>
      </c>
      <c r="AG222" s="100">
        <f t="shared" si="335"/>
        <v>404308908.85750967</v>
      </c>
      <c r="AH222" s="100"/>
      <c r="AI222" s="100">
        <f t="shared" si="335"/>
        <v>67128947.368421048</v>
      </c>
    </row>
    <row r="223" spans="1:35" ht="15.75" x14ac:dyDescent="0.25">
      <c r="A223" s="55"/>
      <c r="B223" s="26" t="s">
        <v>147</v>
      </c>
      <c r="C223" s="27"/>
      <c r="D223" s="28"/>
      <c r="E223" s="29">
        <f t="shared" ref="E223:F223" si="336">E222+E212</f>
        <v>91480000</v>
      </c>
      <c r="F223" s="29">
        <f t="shared" si="336"/>
        <v>126580243.90243903</v>
      </c>
      <c r="G223" s="29">
        <f>G222+G212</f>
        <v>218060243.90243903</v>
      </c>
      <c r="H223" s="29">
        <f t="shared" ref="H223:AG223" si="337">H222+H212</f>
        <v>92980000</v>
      </c>
      <c r="I223" s="29">
        <f t="shared" si="337"/>
        <v>128470243.90243903</v>
      </c>
      <c r="J223" s="29">
        <f t="shared" si="337"/>
        <v>221450243.90243903</v>
      </c>
      <c r="K223" s="29">
        <f t="shared" si="337"/>
        <v>86480000</v>
      </c>
      <c r="L223" s="29">
        <f t="shared" si="337"/>
        <v>128470243.90243903</v>
      </c>
      <c r="M223" s="29">
        <f t="shared" si="337"/>
        <v>214950243.90243903</v>
      </c>
      <c r="N223" s="29">
        <f t="shared" si="337"/>
        <v>86480000</v>
      </c>
      <c r="O223" s="29">
        <f t="shared" si="337"/>
        <v>128470243.90243903</v>
      </c>
      <c r="P223" s="29">
        <f t="shared" si="337"/>
        <v>214950243.90243903</v>
      </c>
      <c r="Q223" s="29">
        <f t="shared" si="337"/>
        <v>86480000</v>
      </c>
      <c r="R223" s="29">
        <f t="shared" si="337"/>
        <v>128470243.90243903</v>
      </c>
      <c r="S223" s="29">
        <f t="shared" si="337"/>
        <v>214950243.90243903</v>
      </c>
      <c r="T223" s="29">
        <f t="shared" si="337"/>
        <v>0</v>
      </c>
      <c r="U223" s="29">
        <f t="shared" si="337"/>
        <v>443900000.00000006</v>
      </c>
      <c r="V223" s="29">
        <f t="shared" si="337"/>
        <v>640461219.51219511</v>
      </c>
      <c r="W223" s="29">
        <f t="shared" si="337"/>
        <v>1084361219.5121951</v>
      </c>
      <c r="X223" s="29">
        <f t="shared" si="337"/>
        <v>221052631.57894737</v>
      </c>
      <c r="Y223" s="29">
        <f t="shared" si="337"/>
        <v>380370731.70731705</v>
      </c>
      <c r="Z223" s="29">
        <f t="shared" si="337"/>
        <v>601423363.28626442</v>
      </c>
      <c r="AA223" s="29">
        <f t="shared" si="337"/>
        <v>7500000</v>
      </c>
      <c r="AB223" s="29">
        <f t="shared" si="337"/>
        <v>0</v>
      </c>
      <c r="AC223" s="29">
        <f t="shared" si="337"/>
        <v>0</v>
      </c>
      <c r="AD223" s="29">
        <f t="shared" si="337"/>
        <v>7500000</v>
      </c>
      <c r="AE223" s="29">
        <f t="shared" si="337"/>
        <v>147368421.05263159</v>
      </c>
      <c r="AF223" s="29">
        <f t="shared" si="337"/>
        <v>256940487.80487806</v>
      </c>
      <c r="AG223" s="29">
        <f t="shared" si="337"/>
        <v>404308908.85750967</v>
      </c>
      <c r="AH223" s="29"/>
      <c r="AI223" s="29">
        <f t="shared" ref="AI223" si="338">AI222+AI212</f>
        <v>71128947.368421048</v>
      </c>
    </row>
  </sheetData>
  <mergeCells count="47">
    <mergeCell ref="B205:AE205"/>
    <mergeCell ref="B206:S206"/>
    <mergeCell ref="A207:A211"/>
    <mergeCell ref="B213:S213"/>
    <mergeCell ref="A122:A132"/>
    <mergeCell ref="B134:S134"/>
    <mergeCell ref="B156:AE156"/>
    <mergeCell ref="B157:S157"/>
    <mergeCell ref="A158:A189"/>
    <mergeCell ref="B179:S179"/>
    <mergeCell ref="A97:A98"/>
    <mergeCell ref="A99:A104"/>
    <mergeCell ref="B102:AE102"/>
    <mergeCell ref="B120:AE120"/>
    <mergeCell ref="B121:S121"/>
    <mergeCell ref="B83:AI83"/>
    <mergeCell ref="A84:A89"/>
    <mergeCell ref="B93:AI93"/>
    <mergeCell ref="B94:AE94"/>
    <mergeCell ref="A95:A96"/>
    <mergeCell ref="AE3:AG3"/>
    <mergeCell ref="X2:AG2"/>
    <mergeCell ref="B74:AI74"/>
    <mergeCell ref="B75:S75"/>
    <mergeCell ref="A76:A81"/>
    <mergeCell ref="B66:S66"/>
    <mergeCell ref="A13:A19"/>
    <mergeCell ref="C2:C4"/>
    <mergeCell ref="A7:A12"/>
    <mergeCell ref="B5:AB5"/>
    <mergeCell ref="B6:S6"/>
    <mergeCell ref="B14:S14"/>
    <mergeCell ref="B31:S31"/>
    <mergeCell ref="B45:S45"/>
    <mergeCell ref="B54:S54"/>
    <mergeCell ref="B25:S25"/>
    <mergeCell ref="B1:AA1"/>
    <mergeCell ref="B2:B4"/>
    <mergeCell ref="D2:D4"/>
    <mergeCell ref="U2:W2"/>
    <mergeCell ref="X3:Z3"/>
    <mergeCell ref="AA3:AD3"/>
    <mergeCell ref="E2:G2"/>
    <mergeCell ref="H2:J2"/>
    <mergeCell ref="K2:M2"/>
    <mergeCell ref="N2:P2"/>
    <mergeCell ref="Q2:S2"/>
  </mergeCells>
  <hyperlinks>
    <hyperlink ref="B43" r:id="rId1" location="_ftn1" display="applewebdata://CD809E9E-0138-4F5E-A058-2309B51030E6/ - _ftn1" xr:uid="{CD27D362-35FE-0249-A1BF-6AECD57F362E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EA6C-459C-134B-91BF-0DC61EEC83C9}">
  <sheetPr>
    <tabColor theme="9" tint="-0.249977111117893"/>
  </sheetPr>
  <dimension ref="A1:H21"/>
  <sheetViews>
    <sheetView workbookViewId="0">
      <selection activeCell="F18" sqref="F18:F19"/>
    </sheetView>
  </sheetViews>
  <sheetFormatPr defaultColWidth="8.85546875" defaultRowHeight="15" x14ac:dyDescent="0.25"/>
  <cols>
    <col min="1" max="1" width="49.7109375" customWidth="1"/>
    <col min="2" max="2" width="12" customWidth="1"/>
    <col min="3" max="3" width="13.42578125" customWidth="1"/>
    <col min="4" max="4" width="16.140625" customWidth="1"/>
    <col min="5" max="5" width="15.140625" customWidth="1"/>
    <col min="6" max="6" width="14.85546875" customWidth="1"/>
    <col min="7" max="7" width="27.140625" customWidth="1"/>
    <col min="8" max="8" width="12.28515625" bestFit="1" customWidth="1"/>
  </cols>
  <sheetData>
    <row r="1" spans="1:8" ht="15.75" thickBot="1" x14ac:dyDescent="0.3">
      <c r="A1" s="392" t="s">
        <v>286</v>
      </c>
      <c r="B1" s="392"/>
      <c r="C1" s="392"/>
      <c r="D1" s="392"/>
      <c r="E1" s="392"/>
      <c r="F1" s="392"/>
    </row>
    <row r="2" spans="1:8" ht="24" x14ac:dyDescent="0.25">
      <c r="A2" s="393" t="s">
        <v>287</v>
      </c>
      <c r="B2" s="395" t="s">
        <v>288</v>
      </c>
      <c r="C2" s="292" t="s">
        <v>289</v>
      </c>
      <c r="D2" s="292" t="s">
        <v>290</v>
      </c>
      <c r="E2" s="292" t="s">
        <v>291</v>
      </c>
      <c r="F2" s="293" t="s">
        <v>292</v>
      </c>
    </row>
    <row r="3" spans="1:8" x14ac:dyDescent="0.25">
      <c r="A3" s="394"/>
      <c r="B3" s="396"/>
      <c r="C3" s="294" t="s">
        <v>306</v>
      </c>
      <c r="D3" s="294" t="s">
        <v>307</v>
      </c>
      <c r="E3" s="294" t="s">
        <v>294</v>
      </c>
      <c r="F3" s="295" t="s">
        <v>293</v>
      </c>
    </row>
    <row r="4" spans="1:8" ht="24.75" thickBot="1" x14ac:dyDescent="0.3">
      <c r="A4" s="394"/>
      <c r="B4" s="396"/>
      <c r="C4" s="296"/>
      <c r="D4" s="294" t="s">
        <v>295</v>
      </c>
      <c r="E4" s="294" t="s">
        <v>308</v>
      </c>
      <c r="F4" s="297"/>
    </row>
    <row r="5" spans="1:8" ht="18" customHeight="1" x14ac:dyDescent="0.25">
      <c r="A5" s="389" t="s">
        <v>300</v>
      </c>
      <c r="B5" s="299" t="s">
        <v>296</v>
      </c>
      <c r="C5" s="300">
        <f>Permbledhese!I10</f>
        <v>17725157143.210258</v>
      </c>
      <c r="D5" s="300">
        <f>Permbledhese!L10+Permbledhese!O10</f>
        <v>4835966455.5794868</v>
      </c>
      <c r="E5" s="300">
        <f>Permbledhese!R10</f>
        <v>12111776687.63077</v>
      </c>
      <c r="F5" s="390">
        <f>(C5+C6)-(D5+D6)-(E5+E6)</f>
        <v>724134000.00000191</v>
      </c>
      <c r="G5" s="285"/>
    </row>
    <row r="6" spans="1:8" ht="24.75" customHeight="1" thickBot="1" x14ac:dyDescent="0.3">
      <c r="A6" s="389"/>
      <c r="B6" s="301" t="s">
        <v>246</v>
      </c>
      <c r="C6" s="302">
        <f>Permbledhese!J10</f>
        <v>7800000</v>
      </c>
      <c r="D6" s="302">
        <f>Permbledhese!M10+Permbledhese!P10</f>
        <v>57180000</v>
      </c>
      <c r="E6" s="302">
        <f>Permbledhese!S10</f>
        <v>3900000</v>
      </c>
      <c r="F6" s="391"/>
    </row>
    <row r="7" spans="1:8" x14ac:dyDescent="0.25">
      <c r="A7" s="389" t="s">
        <v>301</v>
      </c>
      <c r="B7" s="299" t="s">
        <v>296</v>
      </c>
      <c r="C7" s="300">
        <f>Permbledhese!I13</f>
        <v>1293976160</v>
      </c>
      <c r="D7" s="300">
        <f>Permbledhese!L13+Permbledhese!O13</f>
        <v>584330000</v>
      </c>
      <c r="E7" s="300">
        <f>Permbledhese!R13</f>
        <v>709646160</v>
      </c>
      <c r="F7" s="390">
        <f>(C7+C8)-(D7+D8)-(E7+E8)</f>
        <v>0</v>
      </c>
      <c r="G7" s="285"/>
      <c r="H7" s="285"/>
    </row>
    <row r="8" spans="1:8" ht="43.35" customHeight="1" thickBot="1" x14ac:dyDescent="0.3">
      <c r="A8" s="389"/>
      <c r="B8" s="301" t="s">
        <v>246</v>
      </c>
      <c r="C8" s="302">
        <f>Permbledhese!J13</f>
        <v>1136397520</v>
      </c>
      <c r="D8" s="302">
        <f>Permbledhese!M13+Permbledhese!P13</f>
        <v>750866560</v>
      </c>
      <c r="E8" s="302">
        <f>Permbledhese!S13</f>
        <v>385530960</v>
      </c>
      <c r="F8" s="391"/>
      <c r="G8" s="285"/>
    </row>
    <row r="9" spans="1:8" x14ac:dyDescent="0.25">
      <c r="A9" s="389" t="s">
        <v>302</v>
      </c>
      <c r="B9" s="299" t="s">
        <v>296</v>
      </c>
      <c r="C9" s="300">
        <f>Permbledhese!I16</f>
        <v>13051863000</v>
      </c>
      <c r="D9" s="300">
        <f>Permbledhese!L16+Permbledhese!O16</f>
        <v>7731863000</v>
      </c>
      <c r="E9" s="300">
        <f>Permbledhese!R16</f>
        <v>5320000000</v>
      </c>
      <c r="F9" s="390">
        <f>(C9+C10)-(D9+D10)-(E9+E10)</f>
        <v>115200000</v>
      </c>
      <c r="G9" s="303"/>
    </row>
    <row r="10" spans="1:8" ht="20.25" customHeight="1" thickBot="1" x14ac:dyDescent="0.3">
      <c r="A10" s="389"/>
      <c r="B10" s="301" t="s">
        <v>246</v>
      </c>
      <c r="C10" s="302">
        <f>Permbledhese!J16</f>
        <v>115200000</v>
      </c>
      <c r="D10" s="302"/>
      <c r="E10" s="302"/>
      <c r="F10" s="391"/>
      <c r="G10" s="285"/>
    </row>
    <row r="11" spans="1:8" ht="20.25" customHeight="1" x14ac:dyDescent="0.25">
      <c r="A11" s="403" t="s">
        <v>303</v>
      </c>
      <c r="B11" s="304" t="s">
        <v>296</v>
      </c>
      <c r="C11" s="305">
        <f>Permbledhese!I19</f>
        <v>8353782775</v>
      </c>
      <c r="D11" s="305">
        <f>Permbledhese!L19+Permbledhese!O19</f>
        <v>4194190325</v>
      </c>
      <c r="E11" s="305">
        <f>Permbledhese!R19</f>
        <v>2691724200</v>
      </c>
      <c r="F11" s="306">
        <f>(C11+C12)-(D11+D12)-(E11+E12)</f>
        <v>1645480750</v>
      </c>
      <c r="G11" s="285"/>
    </row>
    <row r="12" spans="1:8" ht="20.25" customHeight="1" thickBot="1" x14ac:dyDescent="0.3">
      <c r="A12" s="404"/>
      <c r="B12" s="301" t="s">
        <v>246</v>
      </c>
      <c r="C12" s="302">
        <f>Permbledhese!J19</f>
        <v>545375000</v>
      </c>
      <c r="D12" s="302">
        <f>Permbledhese!P19</f>
        <v>210150000</v>
      </c>
      <c r="E12" s="313">
        <f>Permbledhese!S19</f>
        <v>157612500</v>
      </c>
      <c r="F12" s="306"/>
      <c r="G12" s="285"/>
    </row>
    <row r="13" spans="1:8" x14ac:dyDescent="0.25">
      <c r="A13" s="389" t="s">
        <v>304</v>
      </c>
      <c r="B13" s="299" t="s">
        <v>296</v>
      </c>
      <c r="C13" s="300">
        <f>Permbledhese!I22</f>
        <v>5953650000</v>
      </c>
      <c r="D13" s="300">
        <f>Permbledhese!L22+Permbledhese!O22</f>
        <v>156700000</v>
      </c>
      <c r="E13" s="300">
        <f>Permbledhese!R22</f>
        <v>17600000</v>
      </c>
      <c r="F13" s="390">
        <f>(C13+C14)-(D13+D14)-(E13+E14)</f>
        <v>6844550000</v>
      </c>
      <c r="G13" s="285"/>
    </row>
    <row r="14" spans="1:8" ht="26.1" customHeight="1" thickBot="1" x14ac:dyDescent="0.3">
      <c r="A14" s="389"/>
      <c r="B14" s="301" t="s">
        <v>246</v>
      </c>
      <c r="C14" s="313">
        <f>Permbledhese!J22</f>
        <v>1065200000</v>
      </c>
      <c r="D14" s="302">
        <f>Permbledhese!M22+Permbledhese!P22</f>
        <v>0</v>
      </c>
      <c r="E14" s="302">
        <f>Permbledhese!S22</f>
        <v>0</v>
      </c>
      <c r="F14" s="391"/>
      <c r="G14" s="285"/>
    </row>
    <row r="15" spans="1:8" ht="26.1" customHeight="1" x14ac:dyDescent="0.25">
      <c r="A15" s="298" t="s">
        <v>305</v>
      </c>
      <c r="B15" s="299" t="s">
        <v>296</v>
      </c>
      <c r="C15" s="300">
        <f>Permbledhese!I25</f>
        <v>443900000.00000006</v>
      </c>
      <c r="D15" s="300">
        <f>Permbledhese!L25+Permbledhese!O25</f>
        <v>228552631.57894737</v>
      </c>
      <c r="E15" s="300">
        <f>Permbledhese!R25</f>
        <v>147368421.05263159</v>
      </c>
      <c r="F15" s="390">
        <f>(C15+C16)-(D15+D16)-(E15+E16)</f>
        <v>71128947.368421078</v>
      </c>
      <c r="G15" s="285"/>
    </row>
    <row r="16" spans="1:8" ht="26.1" customHeight="1" thickBot="1" x14ac:dyDescent="0.3">
      <c r="A16" s="298"/>
      <c r="B16" s="301" t="s">
        <v>246</v>
      </c>
      <c r="C16" s="302">
        <f>Permbledhese!J25</f>
        <v>640461219.51219511</v>
      </c>
      <c r="D16" s="302">
        <f>Permbledhese!M25+Permbledhese!P25</f>
        <v>380370731.70731705</v>
      </c>
      <c r="E16" s="302">
        <f>Permbledhese!S25</f>
        <v>256940487.80487806</v>
      </c>
      <c r="F16" s="391"/>
      <c r="G16" s="285"/>
    </row>
    <row r="17" spans="1:8" ht="15.75" thickBot="1" x14ac:dyDescent="0.3">
      <c r="A17" s="307" t="s">
        <v>297</v>
      </c>
      <c r="B17" s="308"/>
      <c r="C17" s="309">
        <f>SUM(C5:C16)</f>
        <v>50332762817.72245</v>
      </c>
      <c r="D17" s="309">
        <f t="shared" ref="D17:F17" si="0">SUM(D5:D16)</f>
        <v>19130169703.865753</v>
      </c>
      <c r="E17" s="309">
        <f t="shared" si="0"/>
        <v>21802099416.488277</v>
      </c>
      <c r="F17" s="309">
        <f t="shared" si="0"/>
        <v>9400493697.3684235</v>
      </c>
      <c r="G17" s="310"/>
      <c r="H17" s="285"/>
    </row>
    <row r="18" spans="1:8" x14ac:dyDescent="0.25">
      <c r="A18" s="311" t="s">
        <v>298</v>
      </c>
      <c r="B18" s="397"/>
      <c r="C18" s="399">
        <f>C17/96</f>
        <v>524299612.68460888</v>
      </c>
      <c r="D18" s="399">
        <f t="shared" ref="D18:E18" si="1">D17/96</f>
        <v>199272601.08193493</v>
      </c>
      <c r="E18" s="399">
        <f t="shared" si="1"/>
        <v>227105202.25508621</v>
      </c>
      <c r="F18" s="401">
        <f>F17/96</f>
        <v>97921809.347587749</v>
      </c>
      <c r="G18" s="285"/>
    </row>
    <row r="19" spans="1:8" ht="15.75" thickBot="1" x14ac:dyDescent="0.3">
      <c r="A19" s="312" t="s">
        <v>309</v>
      </c>
      <c r="B19" s="398"/>
      <c r="C19" s="400"/>
      <c r="D19" s="400"/>
      <c r="E19" s="400"/>
      <c r="F19" s="402"/>
      <c r="H19" s="285"/>
    </row>
    <row r="20" spans="1:8" x14ac:dyDescent="0.25">
      <c r="H20" s="285"/>
    </row>
    <row r="21" spans="1:8" x14ac:dyDescent="0.25">
      <c r="D21" s="285"/>
      <c r="E21" s="285"/>
    </row>
  </sheetData>
  <mergeCells count="18">
    <mergeCell ref="F15:F16"/>
    <mergeCell ref="A9:A10"/>
    <mergeCell ref="F9:F10"/>
    <mergeCell ref="A11:A12"/>
    <mergeCell ref="A13:A14"/>
    <mergeCell ref="F13:F14"/>
    <mergeCell ref="B18:B19"/>
    <mergeCell ref="C18:C19"/>
    <mergeCell ref="D18:D19"/>
    <mergeCell ref="E18:E19"/>
    <mergeCell ref="F18:F19"/>
    <mergeCell ref="A7:A8"/>
    <mergeCell ref="F7:F8"/>
    <mergeCell ref="A1:F1"/>
    <mergeCell ref="A2:A4"/>
    <mergeCell ref="B2:B4"/>
    <mergeCell ref="A5:A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85BA-744F-104D-BE92-73B0E01CFA2A}">
  <dimension ref="B2:N9"/>
  <sheetViews>
    <sheetView workbookViewId="0">
      <selection activeCell="G9" sqref="G9"/>
    </sheetView>
  </sheetViews>
  <sheetFormatPr defaultColWidth="11.42578125" defaultRowHeight="15" x14ac:dyDescent="0.25"/>
  <cols>
    <col min="2" max="2" width="16" customWidth="1"/>
    <col min="3" max="3" width="19.28515625" customWidth="1"/>
    <col min="4" max="4" width="19.5703125" customWidth="1"/>
    <col min="8" max="8" width="19.7109375" customWidth="1"/>
    <col min="9" max="9" width="21" customWidth="1"/>
    <col min="13" max="13" width="21.42578125" customWidth="1"/>
    <col min="14" max="14" width="21.140625" customWidth="1"/>
  </cols>
  <sheetData>
    <row r="2" spans="2:14" x14ac:dyDescent="0.25">
      <c r="B2" t="s">
        <v>310</v>
      </c>
      <c r="G2" t="s">
        <v>313</v>
      </c>
      <c r="L2" t="s">
        <v>316</v>
      </c>
    </row>
    <row r="3" spans="2:14" x14ac:dyDescent="0.25">
      <c r="C3" s="134">
        <f>Permbledhese!K28</f>
        <v>50364442817.72245</v>
      </c>
      <c r="H3" s="134">
        <v>50364442817.72245</v>
      </c>
      <c r="M3" t="s">
        <v>245</v>
      </c>
      <c r="N3" t="s">
        <v>246</v>
      </c>
    </row>
    <row r="4" spans="2:14" x14ac:dyDescent="0.25">
      <c r="B4" t="s">
        <v>280</v>
      </c>
      <c r="C4" s="159">
        <f>D4/$C$3</f>
        <v>0.33684539636952016</v>
      </c>
      <c r="D4" s="134">
        <f>Permbledhese!N28</f>
        <v>16965030703.865751</v>
      </c>
      <c r="G4" t="s">
        <v>314</v>
      </c>
      <c r="H4" s="314">
        <f>I4/H3</f>
        <v>0.9302993631396449</v>
      </c>
      <c r="I4" s="134">
        <f>Permbledhese!I28</f>
        <v>46854009078.210258</v>
      </c>
      <c r="L4" t="s">
        <v>317</v>
      </c>
      <c r="M4" s="134">
        <f>17725157143.2103+Permbledhese!I26</f>
        <v>17756837143.2103</v>
      </c>
      <c r="N4" s="134">
        <v>7800000</v>
      </c>
    </row>
    <row r="5" spans="2:14" x14ac:dyDescent="0.25">
      <c r="B5" t="s">
        <v>283</v>
      </c>
      <c r="C5" s="159">
        <f t="shared" ref="C5:C7" si="0">D5/$C$3</f>
        <v>0.43288673907093178</v>
      </c>
      <c r="D5" s="134">
        <f>Permbledhese!T28</f>
        <v>21802099416.488281</v>
      </c>
      <c r="G5" t="s">
        <v>315</v>
      </c>
      <c r="H5" s="314">
        <f>I5/H3</f>
        <v>6.9700636860355158E-2</v>
      </c>
      <c r="I5" s="134">
        <f>Permbledhese!J28</f>
        <v>3510433739.5121951</v>
      </c>
      <c r="L5" t="s">
        <v>318</v>
      </c>
      <c r="M5" s="134">
        <v>1293976160</v>
      </c>
      <c r="N5" s="134">
        <v>1136397520</v>
      </c>
    </row>
    <row r="6" spans="2:14" x14ac:dyDescent="0.25">
      <c r="B6" t="s">
        <v>311</v>
      </c>
      <c r="C6" s="159">
        <f t="shared" si="0"/>
        <v>4.3618451373534789E-2</v>
      </c>
      <c r="D6" s="134">
        <f>Permbledhese!Q28</f>
        <v>2196819000</v>
      </c>
      <c r="L6" t="s">
        <v>319</v>
      </c>
      <c r="M6" s="134">
        <v>13051863000</v>
      </c>
      <c r="N6" s="134">
        <v>115200000</v>
      </c>
    </row>
    <row r="7" spans="2:14" x14ac:dyDescent="0.25">
      <c r="B7" t="s">
        <v>312</v>
      </c>
      <c r="C7" s="159">
        <f t="shared" si="0"/>
        <v>0.18664941318601341</v>
      </c>
      <c r="D7" s="134">
        <f>Permbledhese!U28</f>
        <v>9400493697.3684235</v>
      </c>
      <c r="L7" t="s">
        <v>320</v>
      </c>
      <c r="M7" s="134">
        <v>8353782775</v>
      </c>
      <c r="N7" s="134">
        <v>545375000</v>
      </c>
    </row>
    <row r="8" spans="2:14" x14ac:dyDescent="0.25">
      <c r="L8" t="s">
        <v>321</v>
      </c>
      <c r="M8" s="134">
        <v>5953650000</v>
      </c>
      <c r="N8" s="134">
        <v>1065200000</v>
      </c>
    </row>
    <row r="9" spans="2:14" x14ac:dyDescent="0.25">
      <c r="L9" t="s">
        <v>322</v>
      </c>
      <c r="M9" s="134">
        <v>443900000.00000006</v>
      </c>
      <c r="N9" s="134">
        <v>640461219.51219511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Permbledhese</vt:lpstr>
      <vt:lpstr>Kostimi i planit te veprimit</vt:lpstr>
      <vt:lpstr>Nevojat kapitale</vt:lpstr>
      <vt:lpstr>Grafike</vt:lpstr>
      <vt:lpstr>'Kostimi i planit te veprimit'!_ftnref1</vt:lpstr>
      <vt:lpstr>'Nevojat kapitale'!_Hlk14952534</vt:lpstr>
      <vt:lpstr>'Kostimi i planit te veprimit'!_Toc212635908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Haulica</dc:creator>
  <cp:keywords/>
  <dc:description/>
  <cp:lastModifiedBy>Vojsava Gjoliku</cp:lastModifiedBy>
  <cp:lastPrinted>2026-02-27T16:58:05Z</cp:lastPrinted>
  <dcterms:created xsi:type="dcterms:W3CDTF">2022-04-30T09:46:31Z</dcterms:created>
  <dcterms:modified xsi:type="dcterms:W3CDTF">2026-03-30T09:48:40Z</dcterms:modified>
  <cp:category/>
</cp:coreProperties>
</file>